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2850" windowWidth="3840" windowHeight="2865" tabRatio="884" activeTab="0"/>
  </bookViews>
  <sheets>
    <sheet name="rechtw.Dreieck" sheetId="1" r:id="rId1"/>
    <sheet name="allg. Dreieck" sheetId="2" r:id="rId2"/>
  </sheets>
  <definedNames>
    <definedName name="a">#REF!</definedName>
    <definedName name="b">#REF!</definedName>
    <definedName name="c">#REF!</definedName>
    <definedName name="_xlnm.Print_Area" localSheetId="1">'allg. Dreieck'!$B$11:$L$34</definedName>
    <definedName name="_xlnm.Print_Area" localSheetId="0">'rechtw.Dreieck'!$B$2:$AW$24</definedName>
    <definedName name="p">#REF!</definedName>
    <definedName name="q">#REF!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C1" authorId="0">
      <text>
        <r>
          <rPr>
            <sz val="8"/>
            <rFont val="Tahoma"/>
            <family val="0"/>
          </rPr>
          <t>Bei Eingabe von 1 wird die Bezeichnung 
von a und b in kartesische Koordinaten
und die von c und alpha in Polarkoordinaten
umgewandelt.
Logischerweise nur dann wenn entweder 
a und b   oder   c und alpha   eingegeben sind.</t>
        </r>
      </text>
    </comment>
    <comment ref="F1" authorId="0">
      <text>
        <r>
          <rPr>
            <sz val="8"/>
            <rFont val="Tahoma"/>
            <family val="0"/>
          </rPr>
          <t>Rundungsstellen für das Ergebnis</t>
        </r>
      </text>
    </comment>
    <comment ref="G1" authorId="0">
      <text>
        <r>
          <rPr>
            <sz val="8"/>
            <rFont val="Tahoma"/>
            <family val="0"/>
          </rPr>
          <t>Maßeinheit: m,  cm,  km</t>
        </r>
      </text>
    </comment>
    <comment ref="BX1" authorId="0">
      <text>
        <r>
          <rPr>
            <sz val="8"/>
            <rFont val="Tahoma"/>
            <family val="0"/>
          </rPr>
          <t xml:space="preserve">
Das Programm wurde entwickelt von 
Walter Fricke, Derendorf   (WF)</t>
        </r>
      </text>
    </comment>
    <comment ref="B8" authorId="0">
      <text>
        <r>
          <rPr>
            <sz val="8"/>
            <rFont val="Tahoma"/>
            <family val="0"/>
          </rPr>
          <t>Soll die Winkeleingabe nicht dezimal 
sondern in Grad und Minuten erfolgen:
z.B. 61 Grad 35 Minuten: = 61+35/60</t>
        </r>
      </text>
    </comment>
  </commentList>
</comments>
</file>

<file path=xl/comments2.xml><?xml version="1.0" encoding="utf-8"?>
<comments xmlns="http://schemas.openxmlformats.org/spreadsheetml/2006/main">
  <authors>
    <author>Ein gesch?tzter Microsoft Office Anwender</author>
  </authors>
  <commentList>
    <comment ref="G10" authorId="0">
      <text>
        <r>
          <rPr>
            <sz val="8"/>
            <rFont val="Tahoma"/>
            <family val="0"/>
          </rPr>
          <t>Rundungsstellen für das Ergebnis</t>
        </r>
      </text>
    </comment>
    <comment ref="X10" authorId="0">
      <text>
        <r>
          <rPr>
            <sz val="8"/>
            <rFont val="Tahoma"/>
            <family val="0"/>
          </rPr>
          <t xml:space="preserve">
Das Programm wurde entwickelt von 
Walter Fricke, Derendorf   (WF)</t>
        </r>
      </text>
    </comment>
    <comment ref="B17" authorId="0">
      <text>
        <r>
          <rPr>
            <sz val="8"/>
            <rFont val="Tahoma"/>
            <family val="0"/>
          </rPr>
          <t>Soll die Winkeleingabe nicht dezimal 
sondern in Grad und Minuten erfolgen:
z.B. 61 Grad 35 Minuten: = 61+35/60</t>
        </r>
      </text>
    </comment>
  </commentList>
</comments>
</file>

<file path=xl/sharedStrings.xml><?xml version="1.0" encoding="utf-8"?>
<sst xmlns="http://schemas.openxmlformats.org/spreadsheetml/2006/main" count="159" uniqueCount="111">
  <si>
    <t>cm</t>
  </si>
  <si>
    <r>
      <t>Rechtwinkliges Dreieck   (</t>
    </r>
    <r>
      <rPr>
        <b/>
        <sz val="16.8"/>
        <rFont val="Symbol"/>
        <family val="1"/>
      </rPr>
      <t>g</t>
    </r>
    <r>
      <rPr>
        <b/>
        <sz val="14"/>
        <rFont val="Arial"/>
        <family val="2"/>
      </rPr>
      <t xml:space="preserve"> = 90 °)</t>
    </r>
  </si>
  <si>
    <t>ohne</t>
  </si>
  <si>
    <t>Spiegel</t>
  </si>
  <si>
    <t>(2 Eingaben)</t>
  </si>
  <si>
    <t>a  b</t>
  </si>
  <si>
    <t>a  c</t>
  </si>
  <si>
    <t>a  alpha</t>
  </si>
  <si>
    <t>a  beta</t>
  </si>
  <si>
    <t>a  p</t>
  </si>
  <si>
    <t>a  q</t>
  </si>
  <si>
    <t>a  h</t>
  </si>
  <si>
    <t>a  F</t>
  </si>
  <si>
    <t>b   c</t>
  </si>
  <si>
    <t>b  alpha</t>
  </si>
  <si>
    <t>b  beta</t>
  </si>
  <si>
    <t>b  p</t>
  </si>
  <si>
    <t>b  q</t>
  </si>
  <si>
    <t>b  h</t>
  </si>
  <si>
    <t>b  F</t>
  </si>
  <si>
    <t>c  alfa</t>
  </si>
  <si>
    <t>c  beta</t>
  </si>
  <si>
    <t>c  p</t>
  </si>
  <si>
    <t>c  q</t>
  </si>
  <si>
    <t>c  h</t>
  </si>
  <si>
    <t>c  F</t>
  </si>
  <si>
    <t>al  be</t>
  </si>
  <si>
    <t>al  p</t>
  </si>
  <si>
    <t>alfa  q</t>
  </si>
  <si>
    <t>al  h</t>
  </si>
  <si>
    <t>al  F</t>
  </si>
  <si>
    <t>beta  p</t>
  </si>
  <si>
    <t>beta  q</t>
  </si>
  <si>
    <t>beta  h</t>
  </si>
  <si>
    <t>beta  F</t>
  </si>
  <si>
    <t>p  q</t>
  </si>
  <si>
    <t>p  h</t>
  </si>
  <si>
    <t>p  F</t>
  </si>
  <si>
    <t>q  h</t>
  </si>
  <si>
    <t>q  F</t>
  </si>
  <si>
    <t>h  F</t>
  </si>
  <si>
    <t xml:space="preserve">    C</t>
  </si>
  <si>
    <t>°</t>
  </si>
  <si>
    <t>Winkel</t>
  </si>
  <si>
    <t>b</t>
  </si>
  <si>
    <t>Projektion a</t>
  </si>
  <si>
    <t>p</t>
  </si>
  <si>
    <t xml:space="preserve">   </t>
  </si>
  <si>
    <t xml:space="preserve">    b</t>
  </si>
  <si>
    <t xml:space="preserve">  h</t>
  </si>
  <si>
    <t xml:space="preserve"> a</t>
  </si>
  <si>
    <t>Projektion b</t>
  </si>
  <si>
    <t>q</t>
  </si>
  <si>
    <t>Höhe auf c</t>
  </si>
  <si>
    <r>
      <t>h</t>
    </r>
    <r>
      <rPr>
        <b/>
        <sz val="9"/>
        <rFont val="Arial"/>
        <family val="2"/>
      </rPr>
      <t>c</t>
    </r>
  </si>
  <si>
    <t>Fläche</t>
  </si>
  <si>
    <t>F</t>
  </si>
  <si>
    <t xml:space="preserve">a </t>
  </si>
  <si>
    <t xml:space="preserve">       q</t>
  </si>
  <si>
    <t xml:space="preserve">         A</t>
  </si>
  <si>
    <t>c</t>
  </si>
  <si>
    <t xml:space="preserve">  B</t>
  </si>
  <si>
    <t>Umfang</t>
  </si>
  <si>
    <t>U</t>
  </si>
  <si>
    <t>=</t>
  </si>
  <si>
    <t>Inkreisradius</t>
  </si>
  <si>
    <t>r</t>
  </si>
  <si>
    <t>Umkreisradius</t>
  </si>
  <si>
    <t>R</t>
  </si>
  <si>
    <t>Seitenhalbierende</t>
  </si>
  <si>
    <r>
      <t>S</t>
    </r>
    <r>
      <rPr>
        <b/>
        <sz val="9"/>
        <rFont val="Arial"/>
        <family val="2"/>
      </rPr>
      <t>a</t>
    </r>
  </si>
  <si>
    <r>
      <t>S</t>
    </r>
    <r>
      <rPr>
        <b/>
        <sz val="9"/>
        <rFont val="Arial"/>
        <family val="2"/>
      </rPr>
      <t>b</t>
    </r>
  </si>
  <si>
    <r>
      <t>S</t>
    </r>
    <r>
      <rPr>
        <b/>
        <sz val="9"/>
        <rFont val="Arial"/>
        <family val="2"/>
      </rPr>
      <t>c</t>
    </r>
  </si>
  <si>
    <t>Winkelhalbierende</t>
  </si>
  <si>
    <r>
      <t>W</t>
    </r>
    <r>
      <rPr>
        <b/>
        <sz val="9"/>
        <rFont val="Symbol"/>
        <family val="1"/>
      </rPr>
      <t>a</t>
    </r>
  </si>
  <si>
    <r>
      <t>W</t>
    </r>
    <r>
      <rPr>
        <b/>
        <sz val="9"/>
        <rFont val="Symbol"/>
        <family val="1"/>
      </rPr>
      <t>b</t>
    </r>
  </si>
  <si>
    <r>
      <t>W</t>
    </r>
    <r>
      <rPr>
        <b/>
        <sz val="9"/>
        <rFont val="Symbol"/>
        <family val="1"/>
      </rPr>
      <t>g</t>
    </r>
  </si>
  <si>
    <t>a  b  c</t>
  </si>
  <si>
    <t>a  b  gamma</t>
  </si>
  <si>
    <t>1.a  b  alpha</t>
  </si>
  <si>
    <t>2. a  b  alpha</t>
  </si>
  <si>
    <t>1. a  b  beta</t>
  </si>
  <si>
    <t>2. a  b  beta</t>
  </si>
  <si>
    <t>a  c  beta</t>
  </si>
  <si>
    <t>1.a  c  alpha</t>
  </si>
  <si>
    <t>2. a  c  alpha</t>
  </si>
  <si>
    <t>1.a  c  gamma</t>
  </si>
  <si>
    <t>2.a  c  gamma</t>
  </si>
  <si>
    <t>b  c  alfa</t>
  </si>
  <si>
    <t>1.b  c  beta</t>
  </si>
  <si>
    <t>2.b  c  beta</t>
  </si>
  <si>
    <t>1. b  c  gamma</t>
  </si>
  <si>
    <t>2. b  c  gamma</t>
  </si>
  <si>
    <t>a  alfa  beta</t>
  </si>
  <si>
    <t>a  beta  gamma</t>
  </si>
  <si>
    <t>a  alfa  gamma</t>
  </si>
  <si>
    <t>b  alfa  beta</t>
  </si>
  <si>
    <t>b  alfa  gamma</t>
  </si>
  <si>
    <t>b  beta  gamma</t>
  </si>
  <si>
    <t>c  alfa  beta</t>
  </si>
  <si>
    <t>c  alfa  gamma</t>
  </si>
  <si>
    <t>c  beta  gamma</t>
  </si>
  <si>
    <t>Schiefwinkliges Dreieck</t>
  </si>
  <si>
    <t>(3 Eingaben)</t>
  </si>
  <si>
    <t>Seite</t>
  </si>
  <si>
    <t>a</t>
  </si>
  <si>
    <t>g</t>
  </si>
  <si>
    <t>Höhe</t>
  </si>
  <si>
    <r>
      <t>h</t>
    </r>
    <r>
      <rPr>
        <b/>
        <sz val="9"/>
        <rFont val="Arial"/>
        <family val="0"/>
      </rPr>
      <t>a</t>
    </r>
  </si>
  <si>
    <r>
      <t>h</t>
    </r>
    <r>
      <rPr>
        <b/>
        <sz val="9"/>
        <color indexed="8"/>
        <rFont val="Arial"/>
        <family val="0"/>
      </rPr>
      <t>b</t>
    </r>
  </si>
  <si>
    <r>
      <t>h</t>
    </r>
    <r>
      <rPr>
        <b/>
        <sz val="9"/>
        <rFont val="Arial"/>
        <family val="0"/>
      </rPr>
      <t>c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</si>
</sst>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;;;"/>
    <numFmt numFmtId="173" formatCode="General;\-\ General;0"/>
    <numFmt numFmtId="174" formatCode="\+\ General;\-\ \ General;0"/>
    <numFmt numFmtId="175" formatCode="0.00;\-0.00;0.00"/>
    <numFmt numFmtId="176" formatCode="#,##0.00\ \ &quot;m&quot;"/>
    <numFmt numFmtId="177" formatCode="#,##0.00\ &quot;km/h&quot;"/>
    <numFmt numFmtId="178" formatCode="#,##0.00\ &quot;m/sec&quot;"/>
    <numFmt numFmtId="179" formatCode="&quot;(mit g = &quot;General\ \ &quot;m/sec²)&quot;"/>
    <numFmt numFmtId="180" formatCode="\ #,##0"/>
    <numFmt numFmtId="181" formatCode="0;\-0;;"/>
    <numFmt numFmtId="182" formatCode="\+\ General;\-\ General;0"/>
    <numFmt numFmtId="183" formatCode="General&quot; °&quot;"/>
    <numFmt numFmtId="184" formatCode="#,##0.00;[Red]\-#,##0.00;0.00"/>
    <numFmt numFmtId="185" formatCode="General;General;General"/>
    <numFmt numFmtId="186" formatCode="General&quot;  kg&quot;"/>
    <numFmt numFmtId="187" formatCode="[&gt;999999999999999]0.00E+00;#,##0"/>
    <numFmt numFmtId="188" formatCode="General\ ;[&lt;0]&quot;- &quot;General\ ;0\ "/>
    <numFmt numFmtId="189" formatCode="0&quot;.&quot;"/>
    <numFmt numFmtId="190" formatCode="h:mm"/>
    <numFmt numFmtId="191" formatCode="&quot;+ &quot;General\ ;[&lt;0]&quot;-  &quot;General\ ;&quot;   &quot;0\ "/>
    <numFmt numFmtId="192" formatCode="General;\-General;0"/>
    <numFmt numFmtId="193" formatCode="General;[Red]\-General;[Red]General"/>
    <numFmt numFmtId="194" formatCode="[Red][&lt;20]General;[Red][&gt;26]General;General"/>
    <numFmt numFmtId="195" formatCode="\+_ General;\-\ \ General;0"/>
    <numFmt numFmtId="196" formatCode="General;[Red]\-\ General;General"/>
    <numFmt numFmtId="197" formatCode="General;[Red]\-\ General;[Red]General"/>
    <numFmt numFmtId="198" formatCode="\+_ General;\-\ \ General;\ \ \ 0"/>
    <numFmt numFmtId="199" formatCode="&quot;+ &quot;General&quot;  =&quot;\ ;[&lt;0]&quot;-  &quot;General&quot;  =&quot;\ ;&quot;   &quot;0&quot;  =&quot;\ "/>
    <numFmt numFmtId="200" formatCode="0.000&quot; sec&quot;"/>
    <numFmt numFmtId="201" formatCode="General&quot;.&quot;"/>
    <numFmt numFmtId="202" formatCode="[Red][=7]dddd;[Red][=1]dddd;[Black]dddd"/>
    <numFmt numFmtId="203" formatCode="dd/mm/yyyy\ \ "/>
    <numFmt numFmtId="204" formatCode="[Red][=7]ddd;[Red][=1]ddd;[Black]ddd"/>
    <numFmt numFmtId="205" formatCode="General;General;"/>
    <numFmt numFmtId="206" formatCode="General&quot;  =&quot;\ ;[&lt;0]&quot;-  &quot;General&quot;  =&quot;\ ;&quot;   &quot;0&quot;  =&quot;\ "/>
    <numFmt numFmtId="207" formatCode="General\ ;[&lt;0]&quot;-  &quot;General\ ;&quot;   &quot;0\ "/>
    <numFmt numFmtId="208" formatCode="0_ ;[Red]\-0\ "/>
    <numFmt numFmtId="209" formatCode="[&lt;10]0.00&quot;   m&quot;;General&quot;  cm&quot;"/>
    <numFmt numFmtId="210" formatCode="0.000"/>
    <numFmt numFmtId="211" formatCode="[&lt;20]&quot;20&quot;00;[&lt;100]&quot;19&quot;00;General"/>
    <numFmt numFmtId="212" formatCode="[Red][&gt;1]General;General"/>
    <numFmt numFmtId="213" formatCode="[Red][&gt;1]#;General"/>
    <numFmt numFmtId="214" formatCode="00.?"/>
    <numFmt numFmtId="215" formatCode="hh:mm;hh:mm;hh:mm"/>
    <numFmt numFmtId="216" formatCode="hh:mm;;"/>
    <numFmt numFmtId="217" formatCode="#,##0.00;;"/>
    <numFmt numFmtId="218" formatCode="&quot;Ja&quot;;&quot;Ja&quot;;&quot;Nein&quot;"/>
    <numFmt numFmtId="219" formatCode="&quot;Wahr&quot;;&quot;Wahr&quot;;&quot;Falsch&quot;"/>
    <numFmt numFmtId="220" formatCode="&quot;Ein&quot;;&quot;Ein&quot;;&quot;Aus&quot;"/>
    <numFmt numFmtId="221" formatCode="[&lt;0.00001]0;General"/>
    <numFmt numFmtId="222" formatCode="[&lt;0.00001]&quot;&quot;;General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1"/>
      <name val="Arial"/>
      <family val="0"/>
    </font>
    <font>
      <sz val="11"/>
      <color indexed="8"/>
      <name val="Arial"/>
      <family val="2"/>
    </font>
    <font>
      <b/>
      <sz val="16.8"/>
      <name val="Symbol"/>
      <family val="1"/>
    </font>
    <font>
      <b/>
      <sz val="14"/>
      <name val="Arial"/>
      <family val="2"/>
    </font>
    <font>
      <b/>
      <sz val="11"/>
      <name val="Arial"/>
      <family val="0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Symbol"/>
      <family val="1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9"/>
      <name val="Symbol"/>
      <family val="1"/>
    </font>
    <font>
      <b/>
      <sz val="9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12"/>
      <name val="Symbol"/>
      <family val="1"/>
    </font>
    <font>
      <sz val="8"/>
      <name val="Tahoma"/>
      <family val="0"/>
    </font>
    <font>
      <u val="single"/>
      <sz val="13.2"/>
      <color indexed="36"/>
      <name val="Arial"/>
      <family val="0"/>
    </font>
    <font>
      <u val="single"/>
      <sz val="13.2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21" applyProtection="1">
      <alignment/>
      <protection hidden="1"/>
    </xf>
    <xf numFmtId="172" fontId="5" fillId="2" borderId="0" xfId="21" applyNumberFormat="1" applyFill="1" applyProtection="1">
      <alignment/>
      <protection locked="0"/>
    </xf>
    <xf numFmtId="184" fontId="6" fillId="3" borderId="0" xfId="21" applyNumberFormat="1" applyFont="1" applyFill="1" applyBorder="1" applyAlignment="1" applyProtection="1">
      <alignment/>
      <protection locked="0"/>
    </xf>
    <xf numFmtId="0" fontId="5" fillId="0" borderId="0" xfId="21" applyNumberForma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8" fillId="0" borderId="0" xfId="21" applyFont="1" applyProtection="1">
      <alignment/>
      <protection hidden="1"/>
    </xf>
    <xf numFmtId="0" fontId="9" fillId="0" borderId="0" xfId="21" applyFont="1" applyProtection="1">
      <alignment/>
      <protection hidden="1"/>
    </xf>
    <xf numFmtId="0" fontId="9" fillId="0" borderId="0" xfId="22" applyNumberFormat="1" applyFont="1" applyProtection="1">
      <alignment/>
      <protection locked="0"/>
    </xf>
    <xf numFmtId="0" fontId="10" fillId="0" borderId="0" xfId="21" applyFont="1" applyProtection="1">
      <alignment/>
      <protection hidden="1"/>
    </xf>
    <xf numFmtId="0" fontId="5" fillId="0" borderId="0" xfId="21" applyProtection="1">
      <alignment/>
      <protection hidden="1" locked="0"/>
    </xf>
    <xf numFmtId="0" fontId="11" fillId="0" borderId="0" xfId="21" applyFont="1" applyAlignment="1" applyProtection="1">
      <alignment horizontal="center"/>
      <protection hidden="1"/>
    </xf>
    <xf numFmtId="0" fontId="9" fillId="0" borderId="0" xfId="21" applyFont="1" applyAlignment="1" applyProtection="1">
      <alignment horizontal="left"/>
      <protection hidden="1"/>
    </xf>
    <xf numFmtId="0" fontId="1" fillId="0" borderId="0" xfId="21" applyFont="1" applyProtection="1">
      <alignment/>
      <protection hidden="1"/>
    </xf>
    <xf numFmtId="0" fontId="5" fillId="4" borderId="0" xfId="21" applyFill="1" applyProtection="1">
      <alignment/>
      <protection hidden="1"/>
    </xf>
    <xf numFmtId="0" fontId="9" fillId="0" borderId="0" xfId="21" applyFont="1" applyAlignment="1" applyProtection="1">
      <alignment horizontal="right"/>
      <protection hidden="1"/>
    </xf>
    <xf numFmtId="0" fontId="12" fillId="0" borderId="0" xfId="21" applyFont="1" applyAlignment="1" applyProtection="1">
      <alignment horizontal="left"/>
      <protection hidden="1"/>
    </xf>
    <xf numFmtId="0" fontId="13" fillId="0" borderId="0" xfId="21" applyFont="1" applyProtection="1">
      <alignment/>
      <protection hidden="1"/>
    </xf>
    <xf numFmtId="0" fontId="12" fillId="0" borderId="0" xfId="21" applyFont="1" applyProtection="1">
      <alignment/>
      <protection hidden="1"/>
    </xf>
    <xf numFmtId="0" fontId="14" fillId="0" borderId="0" xfId="21" applyFont="1" applyProtection="1">
      <alignment/>
      <protection hidden="1"/>
    </xf>
    <xf numFmtId="0" fontId="12" fillId="0" borderId="0" xfId="21" applyFont="1" applyAlignment="1" applyProtection="1">
      <alignment horizontal="right"/>
      <protection hidden="1"/>
    </xf>
    <xf numFmtId="0" fontId="9" fillId="0" borderId="0" xfId="21" applyFont="1" applyAlignment="1" applyProtection="1">
      <alignment vertical="top"/>
      <protection hidden="1"/>
    </xf>
    <xf numFmtId="172" fontId="5" fillId="3" borderId="0" xfId="21" applyNumberFormat="1" applyFill="1" applyProtection="1">
      <alignment/>
      <protection hidden="1"/>
    </xf>
    <xf numFmtId="0" fontId="16" fillId="0" borderId="0" xfId="21" applyFont="1" applyProtection="1">
      <alignment/>
      <protection hidden="1"/>
    </xf>
    <xf numFmtId="0" fontId="1" fillId="0" borderId="0" xfId="21" applyFont="1" applyProtection="1" quotePrefix="1">
      <alignment/>
      <protection hidden="1"/>
    </xf>
    <xf numFmtId="172" fontId="5" fillId="0" borderId="0" xfId="21" applyNumberFormat="1" applyProtection="1">
      <alignment/>
      <protection hidden="1"/>
    </xf>
    <xf numFmtId="0" fontId="9" fillId="0" borderId="0" xfId="20" applyFont="1" applyAlignment="1" applyProtection="1">
      <alignment/>
      <protection hidden="1"/>
    </xf>
    <xf numFmtId="0" fontId="9" fillId="0" borderId="0" xfId="20" applyFont="1" applyAlignment="1" applyProtection="1">
      <alignment horizontal="left"/>
      <protection hidden="1"/>
    </xf>
    <xf numFmtId="0" fontId="9" fillId="0" borderId="0" xfId="20" applyFont="1" applyProtection="1">
      <alignment/>
      <protection hidden="1"/>
    </xf>
    <xf numFmtId="0" fontId="9" fillId="0" borderId="0" xfId="20" applyFont="1" applyAlignment="1" applyProtection="1">
      <alignment horizontal="right"/>
      <protection hidden="1"/>
    </xf>
    <xf numFmtId="0" fontId="9" fillId="0" borderId="0" xfId="20" applyFont="1" applyProtection="1" quotePrefix="1">
      <alignment/>
      <protection hidden="1"/>
    </xf>
    <xf numFmtId="0" fontId="5" fillId="0" borderId="0" xfId="20" applyProtection="1">
      <alignment/>
      <protection hidden="1"/>
    </xf>
    <xf numFmtId="0" fontId="9" fillId="4" borderId="0" xfId="20" applyFont="1" applyFill="1" applyProtection="1">
      <alignment/>
      <protection hidden="1"/>
    </xf>
    <xf numFmtId="0" fontId="5" fillId="0" borderId="0" xfId="20" applyAlignment="1" applyProtection="1">
      <alignment horizontal="right"/>
      <protection hidden="1"/>
    </xf>
    <xf numFmtId="0" fontId="14" fillId="0" borderId="0" xfId="20" applyFont="1" applyProtection="1">
      <alignment/>
      <protection hidden="1"/>
    </xf>
    <xf numFmtId="0" fontId="5" fillId="0" borderId="0" xfId="20" applyAlignment="1" applyProtection="1">
      <alignment horizontal="center"/>
      <protection hidden="1"/>
    </xf>
    <xf numFmtId="0" fontId="5" fillId="4" borderId="0" xfId="20" applyFill="1" applyProtection="1">
      <alignment/>
      <protection hidden="1"/>
    </xf>
    <xf numFmtId="185" fontId="5" fillId="0" borderId="0" xfId="20" applyNumberFormat="1" applyAlignment="1" applyProtection="1">
      <alignment horizontal="right"/>
      <protection hidden="1"/>
    </xf>
    <xf numFmtId="0" fontId="6" fillId="0" borderId="0" xfId="20" applyFont="1" applyProtection="1">
      <alignment/>
      <protection hidden="1"/>
    </xf>
    <xf numFmtId="0" fontId="1" fillId="0" borderId="0" xfId="0" applyNumberFormat="1" applyFont="1" applyAlignment="1" applyProtection="1">
      <alignment/>
      <protection locked="0"/>
    </xf>
    <xf numFmtId="0" fontId="8" fillId="0" borderId="0" xfId="20" applyFont="1" applyProtection="1">
      <alignment/>
      <protection hidden="1"/>
    </xf>
    <xf numFmtId="0" fontId="10" fillId="0" borderId="0" xfId="20" applyFont="1" applyProtection="1">
      <alignment/>
      <protection hidden="1"/>
    </xf>
    <xf numFmtId="0" fontId="16" fillId="0" borderId="0" xfId="20" applyFont="1" applyAlignment="1" applyProtection="1">
      <alignment horizontal="right"/>
      <protection hidden="1"/>
    </xf>
    <xf numFmtId="0" fontId="10" fillId="0" borderId="0" xfId="20" applyFont="1" applyAlignment="1" applyProtection="1">
      <alignment horizontal="right"/>
      <protection hidden="1"/>
    </xf>
    <xf numFmtId="172" fontId="5" fillId="2" borderId="0" xfId="20" applyNumberFormat="1" applyFill="1" applyProtection="1">
      <alignment/>
      <protection locked="0"/>
    </xf>
    <xf numFmtId="0" fontId="5" fillId="0" borderId="0" xfId="20">
      <alignment/>
      <protection/>
    </xf>
    <xf numFmtId="0" fontId="9" fillId="0" borderId="0" xfId="20" applyFont="1" applyAlignment="1" applyProtection="1">
      <alignment horizontal="center"/>
      <protection hidden="1"/>
    </xf>
    <xf numFmtId="0" fontId="12" fillId="0" borderId="0" xfId="20" applyFont="1" applyAlignment="1" applyProtection="1">
      <alignment horizontal="center"/>
      <protection hidden="1"/>
    </xf>
    <xf numFmtId="183" fontId="9" fillId="0" borderId="0" xfId="20" applyNumberFormat="1" applyFont="1" applyProtection="1">
      <alignment/>
      <protection hidden="1"/>
    </xf>
    <xf numFmtId="183" fontId="9" fillId="0" borderId="0" xfId="20" applyNumberFormat="1" applyFont="1" applyAlignment="1" applyProtection="1">
      <alignment horizontal="right"/>
      <protection hidden="1"/>
    </xf>
    <xf numFmtId="0" fontId="16" fillId="0" borderId="0" xfId="20" applyFont="1" applyProtection="1">
      <alignment/>
      <protection hidden="1"/>
    </xf>
    <xf numFmtId="0" fontId="9" fillId="0" borderId="0" xfId="20" applyFont="1" applyAlignment="1" applyProtection="1" quotePrefix="1">
      <alignment horizontal="left"/>
      <protection hidden="1"/>
    </xf>
    <xf numFmtId="0" fontId="19" fillId="0" borderId="0" xfId="20" applyFont="1" applyAlignment="1" applyProtection="1">
      <alignment horizontal="center"/>
      <protection hidden="1"/>
    </xf>
    <xf numFmtId="0" fontId="5" fillId="0" borderId="0" xfId="20" applyNumberFormat="1" applyProtection="1">
      <alignment/>
      <protection hidden="1"/>
    </xf>
    <xf numFmtId="0" fontId="6" fillId="3" borderId="0" xfId="20" applyNumberFormat="1" applyFont="1" applyFill="1" applyBorder="1" applyAlignment="1" applyProtection="1">
      <alignment vertical="center"/>
      <protection hidden="1"/>
    </xf>
    <xf numFmtId="0" fontId="11" fillId="0" borderId="0" xfId="21" applyFont="1" applyProtection="1">
      <alignment/>
      <protection hidden="1"/>
    </xf>
    <xf numFmtId="0" fontId="20" fillId="0" borderId="0" xfId="21" applyFont="1" applyProtection="1">
      <alignment/>
      <protection hidden="1"/>
    </xf>
    <xf numFmtId="0" fontId="10" fillId="0" borderId="0" xfId="21" applyFont="1" applyAlignment="1" applyProtection="1">
      <alignment horizontal="left"/>
      <protection hidden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llg. Dreieck" xfId="20"/>
    <cellStyle name="Standard_rechtw.Dreieck" xfId="21"/>
    <cellStyle name="Standard_Sammelauswertung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0.1145"/>
          <c:w val="0.787"/>
          <c:h val="0.76825"/>
        </c:manualLayout>
      </c:layout>
      <c:scatterChart>
        <c:scatterStyle val="line"/>
        <c:varyColors val="1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'rechtw.Dreieck'!$AX$17:$AX$20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0.5000044194207024</c:v>
                </c:pt>
                <c:pt idx="3">
                  <c:v>0</c:v>
                </c:pt>
              </c:numCache>
            </c:numRef>
          </c:xVal>
          <c:yVal>
            <c:numRef>
              <c:f>'rechtw.Dreieck'!$AY$17:$AY$20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0.5000044194207024</c:v>
                </c:pt>
                <c:pt idx="3">
                  <c:v>0</c:v>
                </c:pt>
              </c:numCache>
            </c:numRef>
          </c:yVal>
          <c:smooth val="0"/>
        </c:ser>
        <c:axId val="57199594"/>
        <c:axId val="45034299"/>
      </c:scatterChart>
      <c:valAx>
        <c:axId val="57199594"/>
        <c:scaling>
          <c:orientation val="minMax"/>
          <c:max val="1"/>
        </c:scaling>
        <c:axPos val="b"/>
        <c:delete val="0"/>
        <c:numFmt formatCode="General" sourceLinked="1"/>
        <c:majorTickMark val="none"/>
        <c:minorTickMark val="none"/>
        <c:tickLblPos val="none"/>
        <c:crossAx val="45034299"/>
        <c:crosses val="autoZero"/>
        <c:crossBetween val="midCat"/>
        <c:dispUnits/>
      </c:valAx>
      <c:valAx>
        <c:axId val="45034299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19959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5"/>
          <c:y val="0.125"/>
          <c:w val="0.7315"/>
          <c:h val="0.71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'allg. Dreieck'!$J$39:$J$42</c:f>
              <c:numCache>
                <c:ptCount val="4"/>
                <c:pt idx="0">
                  <c:v>0.8866529126902063</c:v>
                </c:pt>
                <c:pt idx="1">
                  <c:v>0</c:v>
                </c:pt>
                <c:pt idx="2">
                  <c:v>1</c:v>
                </c:pt>
                <c:pt idx="3">
                  <c:v>0.8866529126902063</c:v>
                </c:pt>
              </c:numCache>
            </c:numRef>
          </c:xVal>
          <c:yVal>
            <c:numRef>
              <c:f>'allg. Dreieck'!$K$39:$K$42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0.7002075382097097</c:v>
                </c:pt>
                <c:pt idx="3">
                  <c:v>0</c:v>
                </c:pt>
              </c:numCache>
            </c:numRef>
          </c:yVal>
          <c:smooth val="0"/>
        </c:ser>
        <c:axId val="2655508"/>
        <c:axId val="23899573"/>
      </c:scatterChart>
      <c:valAx>
        <c:axId val="2655508"/>
        <c:scaling>
          <c:orientation val="minMax"/>
          <c:max val="1"/>
        </c:scaling>
        <c:axPos val="b"/>
        <c:delete val="1"/>
        <c:majorTickMark val="none"/>
        <c:minorTickMark val="none"/>
        <c:tickLblPos val="none"/>
        <c:crossAx val="23899573"/>
        <c:crosses val="autoZero"/>
        <c:crossBetween val="midCat"/>
        <c:dispUnits/>
      </c:valAx>
      <c:valAx>
        <c:axId val="23899573"/>
        <c:scaling>
          <c:orientation val="minMax"/>
          <c:max val="1"/>
          <c:min val="0"/>
        </c:scaling>
        <c:axPos val="l"/>
        <c:delete val="1"/>
        <c:majorTickMark val="none"/>
        <c:minorTickMark val="none"/>
        <c:tickLblPos val="none"/>
        <c:crossAx val="265550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15075"/>
          <c:w val="0.714"/>
          <c:h val="0.6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'allg. Dreieck'!$N$39:$N$42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0.21417935657111492</c:v>
                </c:pt>
                <c:pt idx="3">
                  <c:v>1</c:v>
                </c:pt>
              </c:numCache>
            </c:numRef>
          </c:xVal>
          <c:yVal>
            <c:numRef>
              <c:f>'allg. Dreieck'!$O$39:$O$42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0.14997</c:v>
                </c:pt>
                <c:pt idx="3">
                  <c:v>0</c:v>
                </c:pt>
              </c:numCache>
            </c:numRef>
          </c:yVal>
          <c:smooth val="0"/>
        </c:ser>
        <c:axId val="13769566"/>
        <c:axId val="56817231"/>
      </c:scatterChart>
      <c:valAx>
        <c:axId val="13769566"/>
        <c:scaling>
          <c:orientation val="minMax"/>
          <c:max val="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817231"/>
        <c:crosses val="autoZero"/>
        <c:crossBetween val="midCat"/>
        <c:dispUnits/>
      </c:valAx>
      <c:valAx>
        <c:axId val="5681723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76956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400050</xdr:colOff>
      <xdr:row>12</xdr:row>
      <xdr:rowOff>171450</xdr:rowOff>
    </xdr:from>
    <xdr:to>
      <xdr:col>48</xdr:col>
      <xdr:colOff>142875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86200" y="2343150"/>
          <a:ext cx="2181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409575</xdr:colOff>
      <xdr:row>7</xdr:row>
      <xdr:rowOff>0</xdr:rowOff>
    </xdr:from>
    <xdr:to>
      <xdr:col>46</xdr:col>
      <xdr:colOff>228600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895725" y="1314450"/>
          <a:ext cx="1343025" cy="10287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238125</xdr:colOff>
      <xdr:row>7</xdr:row>
      <xdr:rowOff>0</xdr:rowOff>
    </xdr:from>
    <xdr:to>
      <xdr:col>48</xdr:col>
      <xdr:colOff>133350</xdr:colOff>
      <xdr:row>12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48275" y="1314450"/>
          <a:ext cx="809625" cy="10287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238125</xdr:colOff>
      <xdr:row>7</xdr:row>
      <xdr:rowOff>0</xdr:rowOff>
    </xdr:from>
    <xdr:to>
      <xdr:col>46</xdr:col>
      <xdr:colOff>238125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5248275" y="1314450"/>
          <a:ext cx="0" cy="10287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704850</xdr:colOff>
      <xdr:row>11</xdr:row>
      <xdr:rowOff>123825</xdr:rowOff>
    </xdr:from>
    <xdr:to>
      <xdr:col>44</xdr:col>
      <xdr:colOff>714375</xdr:colOff>
      <xdr:row>11</xdr:row>
      <xdr:rowOff>123825</xdr:rowOff>
    </xdr:to>
    <xdr:sp>
      <xdr:nvSpPr>
        <xdr:cNvPr id="5" name="Arc 5"/>
        <xdr:cNvSpPr>
          <a:spLocks/>
        </xdr:cNvSpPr>
      </xdr:nvSpPr>
      <xdr:spPr>
        <a:xfrm flipH="1" flipV="1">
          <a:off x="4191000" y="2124075"/>
          <a:ext cx="9525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695325</xdr:colOff>
      <xdr:row>11</xdr:row>
      <xdr:rowOff>142875</xdr:rowOff>
    </xdr:from>
    <xdr:to>
      <xdr:col>45</xdr:col>
      <xdr:colOff>28575</xdr:colOff>
      <xdr:row>12</xdr:row>
      <xdr:rowOff>171450</xdr:rowOff>
    </xdr:to>
    <xdr:sp>
      <xdr:nvSpPr>
        <xdr:cNvPr id="6" name="Arc 6"/>
        <xdr:cNvSpPr>
          <a:spLocks/>
        </xdr:cNvSpPr>
      </xdr:nvSpPr>
      <xdr:spPr>
        <a:xfrm>
          <a:off x="4181475" y="2143125"/>
          <a:ext cx="95250" cy="20002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11</xdr:row>
      <xdr:rowOff>114300</xdr:rowOff>
    </xdr:from>
    <xdr:to>
      <xdr:col>47</xdr:col>
      <xdr:colOff>228600</xdr:colOff>
      <xdr:row>12</xdr:row>
      <xdr:rowOff>171450</xdr:rowOff>
    </xdr:to>
    <xdr:sp>
      <xdr:nvSpPr>
        <xdr:cNvPr id="7" name="Arc 7"/>
        <xdr:cNvSpPr>
          <a:spLocks/>
        </xdr:cNvSpPr>
      </xdr:nvSpPr>
      <xdr:spPr>
        <a:xfrm flipH="1">
          <a:off x="5676900" y="2114550"/>
          <a:ext cx="171450" cy="2286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10</xdr:row>
      <xdr:rowOff>66675</xdr:rowOff>
    </xdr:from>
    <xdr:to>
      <xdr:col>48</xdr:col>
      <xdr:colOff>238125</xdr:colOff>
      <xdr:row>23</xdr:row>
      <xdr:rowOff>114300</xdr:rowOff>
    </xdr:to>
    <xdr:graphicFrame>
      <xdr:nvGraphicFramePr>
        <xdr:cNvPr id="8" name="Chart 8"/>
        <xdr:cNvGraphicFramePr/>
      </xdr:nvGraphicFramePr>
      <xdr:xfrm>
        <a:off x="3790950" y="1895475"/>
        <a:ext cx="23717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476250</xdr:colOff>
      <xdr:row>4</xdr:row>
      <xdr:rowOff>0</xdr:rowOff>
    </xdr:from>
    <xdr:to>
      <xdr:col>3</xdr:col>
      <xdr:colOff>47625</xdr:colOff>
      <xdr:row>7</xdr:row>
      <xdr:rowOff>142875</xdr:rowOff>
    </xdr:to>
    <xdr:sp textlink="AP1">
      <xdr:nvSpPr>
        <xdr:cNvPr id="9" name="Text 18"/>
        <xdr:cNvSpPr txBox="1">
          <a:spLocks noChangeArrowheads="1"/>
        </xdr:cNvSpPr>
      </xdr:nvSpPr>
      <xdr:spPr>
        <a:xfrm>
          <a:off x="1038225" y="800100"/>
          <a:ext cx="8477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fld id="{7e115b08-3d3b-4ada-9612-209c0bc01c4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>
    <xdr:from>
      <xdr:col>3</xdr:col>
      <xdr:colOff>47625</xdr:colOff>
      <xdr:row>4</xdr:row>
      <xdr:rowOff>0</xdr:rowOff>
    </xdr:from>
    <xdr:to>
      <xdr:col>3</xdr:col>
      <xdr:colOff>209550</xdr:colOff>
      <xdr:row>6</xdr:row>
      <xdr:rowOff>133350</xdr:rowOff>
    </xdr:to>
    <xdr:sp textlink="AP2">
      <xdr:nvSpPr>
        <xdr:cNvPr id="10" name="Text 19"/>
        <xdr:cNvSpPr txBox="1">
          <a:spLocks noChangeArrowheads="1"/>
        </xdr:cNvSpPr>
      </xdr:nvSpPr>
      <xdr:spPr>
        <a:xfrm>
          <a:off x="1885950" y="800100"/>
          <a:ext cx="16192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244f2553-17af-49ad-88cf-3a6a1f6c7c8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>
    <xdr:from>
      <xdr:col>3</xdr:col>
      <xdr:colOff>28575</xdr:colOff>
      <xdr:row>6</xdr:row>
      <xdr:rowOff>133350</xdr:rowOff>
    </xdr:from>
    <xdr:to>
      <xdr:col>3</xdr:col>
      <xdr:colOff>200025</xdr:colOff>
      <xdr:row>7</xdr:row>
      <xdr:rowOff>123825</xdr:rowOff>
    </xdr:to>
    <xdr:sp textlink="AQ2">
      <xdr:nvSpPr>
        <xdr:cNvPr id="11" name="Text 20"/>
        <xdr:cNvSpPr txBox="1">
          <a:spLocks noChangeArrowheads="1"/>
        </xdr:cNvSpPr>
      </xdr:nvSpPr>
      <xdr:spPr>
        <a:xfrm>
          <a:off x="1866900" y="1276350"/>
          <a:ext cx="1714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fld id="{8664cf22-2c80-41ac-9da9-0e2dce622c3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9</xdr:row>
      <xdr:rowOff>47625</xdr:rowOff>
    </xdr:from>
    <xdr:to>
      <xdr:col>11</xdr:col>
      <xdr:colOff>333375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4638675" y="47625"/>
        <a:ext cx="183832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22</xdr:row>
      <xdr:rowOff>123825</xdr:rowOff>
    </xdr:from>
    <xdr:to>
      <xdr:col>11</xdr:col>
      <xdr:colOff>333375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4619625" y="2438400"/>
        <a:ext cx="18573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342900</xdr:colOff>
      <xdr:row>25</xdr:row>
      <xdr:rowOff>133350</xdr:rowOff>
    </xdr:from>
    <xdr:to>
      <xdr:col>14</xdr:col>
      <xdr:colOff>342900</xdr:colOff>
      <xdr:row>25</xdr:row>
      <xdr:rowOff>133350</xdr:rowOff>
    </xdr:to>
    <xdr:sp>
      <xdr:nvSpPr>
        <xdr:cNvPr id="3" name="Arc 3"/>
        <xdr:cNvSpPr>
          <a:spLocks/>
        </xdr:cNvSpPr>
      </xdr:nvSpPr>
      <xdr:spPr>
        <a:xfrm flipH="1" flipV="1">
          <a:off x="7810500" y="2962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X29"/>
  <sheetViews>
    <sheetView showGridLines="0" showZeros="0" tabSelected="1" showOutlineSymbols="0" zoomScale="110" zoomScaleNormal="110" workbookViewId="0" topLeftCell="A1">
      <selection activeCell="B9" sqref="B9"/>
    </sheetView>
  </sheetViews>
  <sheetFormatPr defaultColWidth="11.421875" defaultRowHeight="12.75" outlineLevelCol="1"/>
  <cols>
    <col min="1" max="1" width="3.28125" style="1" customWidth="1"/>
    <col min="2" max="2" width="5.140625" style="1" customWidth="1"/>
    <col min="3" max="3" width="19.140625" style="1" customWidth="1"/>
    <col min="4" max="4" width="4.00390625" style="1" customWidth="1"/>
    <col min="5" max="5" width="2.421875" style="1" customWidth="1"/>
    <col min="6" max="6" width="12.7109375" style="1" customWidth="1"/>
    <col min="7" max="7" width="5.57421875" style="1" customWidth="1"/>
    <col min="8" max="8" width="10.140625" style="1" hidden="1" customWidth="1" outlineLevel="1"/>
    <col min="9" max="15" width="4.421875" style="1" hidden="1" customWidth="1" outlineLevel="1"/>
    <col min="16" max="16" width="4.28125" style="1" hidden="1" customWidth="1" outlineLevel="1"/>
    <col min="17" max="20" width="4.421875" style="1" hidden="1" customWidth="1" outlineLevel="1"/>
    <col min="21" max="21" width="4.140625" style="1" hidden="1" customWidth="1" outlineLevel="1"/>
    <col min="22" max="29" width="4.421875" style="1" hidden="1" customWidth="1" outlineLevel="1"/>
    <col min="30" max="30" width="5.7109375" style="1" hidden="1" customWidth="1" outlineLevel="1"/>
    <col min="31" max="44" width="4.421875" style="1" hidden="1" customWidth="1" outlineLevel="1"/>
    <col min="45" max="45" width="11.421875" style="1" customWidth="1" collapsed="1"/>
    <col min="46" max="46" width="11.421875" style="1" customWidth="1"/>
    <col min="47" max="47" width="9.140625" style="1" customWidth="1"/>
    <col min="48" max="48" width="4.57421875" style="1" customWidth="1"/>
    <col min="49" max="49" width="6.28125" style="1" customWidth="1"/>
    <col min="50" max="50" width="6.8515625" style="4" customWidth="1"/>
    <col min="51" max="51" width="6.7109375" style="4" customWidth="1"/>
    <col min="52" max="52" width="11.421875" style="4" customWidth="1"/>
    <col min="53" max="16384" width="11.421875" style="1" customWidth="1"/>
  </cols>
  <sheetData>
    <row r="1" spans="3:76" ht="14.25">
      <c r="C1" s="2"/>
      <c r="F1" s="2">
        <v>5</v>
      </c>
      <c r="G1" s="2" t="s">
        <v>0</v>
      </c>
      <c r="AP1" s="55">
        <f>IF(AND(OR(AND(B5&gt;0,B6&gt;0),AND(B7&gt;0,B8&gt;0)),B14="",C1=1),"kartesische  Koordinaten   Polarkoor-  dinaten","")</f>
      </c>
      <c r="AU1" s="3"/>
      <c r="AV1" s="3"/>
      <c r="BX1" s="5"/>
    </row>
    <row r="2" spans="2:76" ht="21.75">
      <c r="B2" s="6" t="s">
        <v>1</v>
      </c>
      <c r="C2" s="6"/>
      <c r="I2" s="7">
        <f>IF(COUNTIF(B5:B13,"&gt;0")&lt;&gt;2,"x",180/PI())</f>
        <v>57.29577951308232</v>
      </c>
      <c r="N2" s="1" t="s">
        <v>2</v>
      </c>
      <c r="T2" s="1" t="s">
        <v>2</v>
      </c>
      <c r="AB2" s="1" t="s">
        <v>3</v>
      </c>
      <c r="AC2" s="1" t="s">
        <v>3</v>
      </c>
      <c r="AD2" s="1" t="s">
        <v>2</v>
      </c>
      <c r="AP2" s="55">
        <f>IF(AP1="","","x y r")</f>
      </c>
      <c r="AQ2" s="56">
        <f>IF(AP1="","","a ")</f>
      </c>
      <c r="BX2" s="8"/>
    </row>
    <row r="3" spans="2:48" ht="13.5" customHeight="1">
      <c r="B3" s="9" t="s">
        <v>4</v>
      </c>
      <c r="I3" s="1">
        <f>IF(AND($B5&gt;0,$B6&gt;0),1,0)</f>
        <v>0</v>
      </c>
      <c r="J3" s="1">
        <f>IF(AND($B5&gt;0,$B7&gt;0),1,0)</f>
        <v>0</v>
      </c>
      <c r="K3" s="1">
        <f>IF(AND($B5&gt;0,$B8&gt;0),1,0)</f>
        <v>1</v>
      </c>
      <c r="L3" s="1">
        <f>IF(AND($B5&gt;0,$B9&gt;0),1,0)</f>
        <v>0</v>
      </c>
      <c r="M3" s="1">
        <f>IF(AND($B5&gt;0,$B10&gt;0),1,0)</f>
        <v>0</v>
      </c>
      <c r="N3" s="1">
        <v>0</v>
      </c>
      <c r="O3" s="1">
        <f>IF(AND($B5&gt;0,$B12&gt;0),1,0)</f>
        <v>0</v>
      </c>
      <c r="P3" s="1">
        <f>IF(AND($B5&gt;0,$B13&gt;0),1,0)</f>
        <v>0</v>
      </c>
      <c r="Q3" s="1">
        <f>IF(AND($B6&gt;0,$B7&gt;0),1,0)</f>
        <v>0</v>
      </c>
      <c r="R3" s="1">
        <f>IF(AND($B6&gt;0,$B8&gt;0),1,0)</f>
        <v>0</v>
      </c>
      <c r="S3" s="1">
        <f>IF(AND($B6&gt;0,$B9&gt;0),1,0)</f>
        <v>0</v>
      </c>
      <c r="T3" s="1">
        <v>0</v>
      </c>
      <c r="U3" s="1">
        <f>IF(AND($B6&gt;0,$B11&gt;0),1,0)</f>
        <v>0</v>
      </c>
      <c r="V3" s="1">
        <f>IF(AND($B6&gt;0,$B12&gt;0),1,0)</f>
        <v>0</v>
      </c>
      <c r="W3" s="1">
        <f>IF(AND($B6&gt;0,$B13&gt;0),1,0)</f>
        <v>0</v>
      </c>
      <c r="X3" s="1">
        <f>IF(AND($B7&gt;0,$B8&gt;0),1,0)</f>
        <v>0</v>
      </c>
      <c r="Y3" s="1">
        <f>IF(AND($B7&gt;0,$B9&gt;0),1,0)</f>
        <v>0</v>
      </c>
      <c r="Z3" s="1">
        <f>IF(AND($B7&gt;0,$B10&gt;0),1,0)</f>
        <v>0</v>
      </c>
      <c r="AA3" s="1">
        <f>IF(AND($B7&gt;0,$B11&gt;0),1,0)</f>
        <v>0</v>
      </c>
      <c r="AB3" s="1">
        <f>IF(AND($B7&gt;0,$B12&gt;0),1,0)</f>
        <v>0</v>
      </c>
      <c r="AC3" s="1">
        <f>IF(AND($B7&gt;0,$B13&gt;0),1,0)</f>
        <v>0</v>
      </c>
      <c r="AD3" s="1">
        <v>0</v>
      </c>
      <c r="AE3" s="1">
        <f>IF(AND($B8&gt;0,$B10&gt;0),1,0)</f>
        <v>0</v>
      </c>
      <c r="AF3" s="1">
        <f>IF(AND($B8&gt;0,$B11&gt;0),1,0)</f>
        <v>0</v>
      </c>
      <c r="AG3" s="1">
        <f>IF(AND($B8&gt;0,$B12&gt;0),1,0)</f>
        <v>0</v>
      </c>
      <c r="AH3" s="1">
        <f>IF(AND($B8&gt;0,$B13&gt;0),1,0)</f>
        <v>0</v>
      </c>
      <c r="AI3" s="1">
        <f>IF(AND($B9&gt;0,$B10&gt;0),1,0)</f>
        <v>0</v>
      </c>
      <c r="AJ3" s="1">
        <f>IF(AND($B9&gt;0,$B11&gt;0),1,0)</f>
        <v>0</v>
      </c>
      <c r="AK3" s="1">
        <f>IF(AND($B9&gt;0,$B12&gt;0),1,0)</f>
        <v>0</v>
      </c>
      <c r="AL3" s="1">
        <f>IF(AND($B9&gt;0,$B13&gt;0),1,0)</f>
        <v>0</v>
      </c>
      <c r="AM3" s="1">
        <f>IF(AND($B10&gt;0,$B11&gt;0),1,0)</f>
        <v>0</v>
      </c>
      <c r="AN3" s="1">
        <f>IF(AND($B10&gt;0,$B12&gt;0),1,0)</f>
        <v>0</v>
      </c>
      <c r="AO3" s="1">
        <v>0</v>
      </c>
      <c r="AP3" s="1">
        <f>IF(AND($B11&gt;0,$B12&gt;0),1,0)</f>
        <v>0</v>
      </c>
      <c r="AQ3" s="1">
        <v>0</v>
      </c>
      <c r="AR3" s="1">
        <f>IF(AND($B12&gt;0,$B13&gt;0),1,0)</f>
        <v>0</v>
      </c>
      <c r="AU3" s="3"/>
      <c r="AV3" s="3"/>
    </row>
    <row r="4" spans="1:48" ht="13.5" customHeight="1">
      <c r="A4" s="10"/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20</v>
      </c>
      <c r="Y4" s="1" t="s">
        <v>21</v>
      </c>
      <c r="Z4" s="1" t="s">
        <v>22</v>
      </c>
      <c r="AA4" s="1" t="s">
        <v>23</v>
      </c>
      <c r="AB4" s="1" t="s">
        <v>24</v>
      </c>
      <c r="AC4" s="1" t="s">
        <v>25</v>
      </c>
      <c r="AD4" s="1" t="s">
        <v>26</v>
      </c>
      <c r="AE4" s="1" t="s">
        <v>27</v>
      </c>
      <c r="AF4" s="1" t="s">
        <v>28</v>
      </c>
      <c r="AG4" s="1" t="s">
        <v>29</v>
      </c>
      <c r="AH4" s="1" t="s">
        <v>30</v>
      </c>
      <c r="AI4" s="1" t="s">
        <v>31</v>
      </c>
      <c r="AJ4" s="1" t="s">
        <v>32</v>
      </c>
      <c r="AK4" s="1" t="s">
        <v>33</v>
      </c>
      <c r="AL4" s="1" t="s">
        <v>34</v>
      </c>
      <c r="AM4" s="1" t="s">
        <v>35</v>
      </c>
      <c r="AN4" s="1" t="s">
        <v>36</v>
      </c>
      <c r="AO4" s="1" t="s">
        <v>37</v>
      </c>
      <c r="AP4" s="1" t="s">
        <v>38</v>
      </c>
      <c r="AQ4" s="1" t="s">
        <v>39</v>
      </c>
      <c r="AR4" s="1" t="s">
        <v>40</v>
      </c>
      <c r="AU4" s="3"/>
      <c r="AV4" s="3"/>
    </row>
    <row r="5" spans="1:44" ht="13.5" customHeight="1">
      <c r="A5" s="11" t="str">
        <f aca="true" t="shared" si="0" ref="A5:A13">IF(B5&gt;0,"E","")</f>
        <v>E</v>
      </c>
      <c r="B5" s="2">
        <v>0.8</v>
      </c>
      <c r="C5" s="7" t="str">
        <f>IF(AP1="","Kathete","")</f>
        <v>Kathete</v>
      </c>
      <c r="D5" s="12" t="str">
        <f>IF(AP1="","a","")</f>
        <v>a</v>
      </c>
      <c r="E5" s="13">
        <f aca="true" t="shared" si="1" ref="E5:E13">IF(B5&gt;0,"","=")</f>
      </c>
      <c r="F5" s="7">
        <f aca="true" t="shared" si="2" ref="F5:F13">IF(ISERROR(H5),0,IF(H5=0,0,ROUND(H5,$F$1)))</f>
        <v>0.8</v>
      </c>
      <c r="G5" s="7" t="str">
        <f>$G$1</f>
        <v>cm</v>
      </c>
      <c r="H5" s="4">
        <f>MAX(B5,I5:AR5)</f>
        <v>0.8</v>
      </c>
      <c r="I5" s="14"/>
      <c r="J5" s="14"/>
      <c r="K5" s="14"/>
      <c r="L5" s="14"/>
      <c r="M5" s="14"/>
      <c r="N5" s="14">
        <v>0</v>
      </c>
      <c r="O5" s="14"/>
      <c r="P5" s="14"/>
      <c r="Q5" s="1">
        <f>IF(Q3=0,0,(B7*B7-B6*B6)^0.5)</f>
        <v>0</v>
      </c>
      <c r="R5" s="1">
        <f>IF(R3=0,0,(R7*R7-B6*B6)^0.5)</f>
        <v>0</v>
      </c>
      <c r="S5" s="1">
        <f>IF(S3=0,0,B6/TAN(B9/I2))</f>
        <v>0</v>
      </c>
      <c r="T5" s="1">
        <v>0</v>
      </c>
      <c r="U5" s="1">
        <f>IF(U3=0,0,B6/TAN(U9/I2))</f>
        <v>0</v>
      </c>
      <c r="V5" s="1">
        <f>IF(V3=0,0,B6*TAN(V9/I2))</f>
        <v>0</v>
      </c>
      <c r="W5" s="1">
        <f>IF(W3=0,0,B13*2/B6)</f>
        <v>0</v>
      </c>
      <c r="X5" s="1">
        <f>IF(X3=0,0,(B7*B7-X6*X6)^0.5)</f>
        <v>0</v>
      </c>
      <c r="Y5" s="1">
        <f>IF(Y3=0,0,B7*COS(B9/I2))</f>
        <v>0</v>
      </c>
      <c r="Z5" s="1">
        <f>IF(Z3=0,0,(B7*B7-Z6*Z6)^0.5)</f>
        <v>0</v>
      </c>
      <c r="AA5" s="1">
        <f>IF(AA3=0,0,(B7*B7-AA6*AA6)^0.5)</f>
        <v>0</v>
      </c>
      <c r="AB5" s="1">
        <f>IF(AB3=0,0,(B7*B7-AB6*AB6)^0.5)</f>
        <v>0</v>
      </c>
      <c r="AC5" s="1">
        <f>IF(AC3=0,0,(B7*B7-AC6*AC6)^0.5)</f>
        <v>0</v>
      </c>
      <c r="AD5" s="1">
        <v>0</v>
      </c>
      <c r="AE5" s="1">
        <f>IF(AE3=0,0,B10/SIN(B8/I2))</f>
        <v>0</v>
      </c>
      <c r="AF5" s="1">
        <f>IF(AF3=0,0,AF6*TAN(B8/I2))</f>
        <v>0</v>
      </c>
      <c r="AG5" s="1">
        <f>IF(AG3=0,0,AG6/TAN(AG9/I2))</f>
        <v>0</v>
      </c>
      <c r="AH5" s="1">
        <f>IF(AH3=0,0,(B13*2*TAN(B8/I2))^0.5)</f>
        <v>0</v>
      </c>
      <c r="AI5" s="1">
        <f>IF(AI3=0,0,B10/COS(B9/I2))</f>
        <v>0</v>
      </c>
      <c r="AJ5" s="1">
        <f>IF(AJ3=0,0,AJ6*TAN(AJ8/I2))</f>
        <v>0</v>
      </c>
      <c r="AK5" s="1">
        <f>IF(AK3=0,0,B12/SIN(B9/I2))</f>
        <v>0</v>
      </c>
      <c r="AL5" s="1">
        <f>IF(AL3=0,0,(B13*2*TAN(AL8/I2))^0.5)</f>
        <v>0</v>
      </c>
      <c r="AM5" s="1">
        <f>IF(AM3=0,0,(AM7*AM7-AM6*AM6)^0.5)</f>
        <v>0</v>
      </c>
      <c r="AN5" s="1">
        <f>IF(AN3=0,0,(B10*B10+B12*B12)^0.5)</f>
        <v>0</v>
      </c>
      <c r="AO5" s="1">
        <v>0</v>
      </c>
      <c r="AP5" s="1">
        <f>IF(AP3=0,0,B12/SIN(AP9/I2))</f>
        <v>0</v>
      </c>
      <c r="AQ5" s="1">
        <v>0</v>
      </c>
      <c r="AR5" s="1">
        <f>IF(AR3=0,0,(AR7*AR7-AR6*AR6)^0.5)</f>
        <v>0</v>
      </c>
    </row>
    <row r="6" spans="1:44" ht="13.5" customHeight="1">
      <c r="A6" s="11">
        <f t="shared" si="0"/>
      </c>
      <c r="B6" s="2"/>
      <c r="C6" s="7" t="str">
        <f>IF(AP1="","Kathete","")</f>
        <v>Kathete</v>
      </c>
      <c r="D6" s="12" t="str">
        <f>IF(AP1="","b","")</f>
        <v>b</v>
      </c>
      <c r="E6" s="13" t="str">
        <f t="shared" si="1"/>
        <v>=</v>
      </c>
      <c r="F6" s="7">
        <f t="shared" si="2"/>
        <v>0.8</v>
      </c>
      <c r="G6" s="7" t="str">
        <f>$G$1</f>
        <v>cm</v>
      </c>
      <c r="H6" s="4">
        <f>MAX(B6,I6:AR6)</f>
        <v>0.8000000000000002</v>
      </c>
      <c r="I6" s="14"/>
      <c r="J6" s="1">
        <f>IF(J3=0,0,(B7*B7-B5*B5)^0.5)</f>
        <v>0</v>
      </c>
      <c r="K6" s="1">
        <f>IF(K3=0,0,B5/TAN(B8/I2))</f>
        <v>0.8000000000000002</v>
      </c>
      <c r="L6" s="1">
        <f>IF(L3=0,0,B5*TAN(B9/I2))</f>
        <v>0</v>
      </c>
      <c r="M6" s="1">
        <f>IF(M3=0,0,B5/TAN(M8/I2))</f>
        <v>0</v>
      </c>
      <c r="N6" s="1">
        <v>0</v>
      </c>
      <c r="O6" s="1">
        <f>IF(O3=0,0,(O7*O7-B5*B5)^0.5)</f>
        <v>0</v>
      </c>
      <c r="P6" s="1">
        <f>IF(P3=0,0,B13*2/B5)</f>
        <v>0</v>
      </c>
      <c r="Q6" s="14"/>
      <c r="R6" s="14"/>
      <c r="S6" s="14"/>
      <c r="T6" s="14">
        <v>0</v>
      </c>
      <c r="U6" s="14"/>
      <c r="V6" s="14"/>
      <c r="W6" s="14"/>
      <c r="X6" s="1">
        <f>IF(X3=0,0,B7*COS(B8/I2))</f>
        <v>0</v>
      </c>
      <c r="Y6" s="1">
        <f>IF(Y3=0,0,(B7*B7-Y5*Y5)^0.5)</f>
        <v>0</v>
      </c>
      <c r="Z6" s="1">
        <f>IF(Z3=0,0,(Z11*Z11+Z12*Z12)^0.5)</f>
        <v>0</v>
      </c>
      <c r="AA6" s="1">
        <f>IF(AA3=0,0,(B11*B11+AA12*AA12)^0.5)</f>
        <v>0</v>
      </c>
      <c r="AB6" s="1">
        <f>IF(AB3=0,0,(AB11*AB11+B12*B12)^0.5)</f>
        <v>0</v>
      </c>
      <c r="AC6" s="1">
        <f>IF(AC3=0,0,(AC11*AC11+AC12*AC12)^0.5)</f>
        <v>0</v>
      </c>
      <c r="AD6" s="1">
        <v>0</v>
      </c>
      <c r="AE6" s="1">
        <f>IF(AE3=0,0,AE5/TAN(B8/I2))</f>
        <v>0</v>
      </c>
      <c r="AF6" s="1">
        <f>IF(AF3=0,0,B11/COS(B8/I2))</f>
        <v>0</v>
      </c>
      <c r="AG6" s="1">
        <f>IF(AG3=0,0,B12/SIN(B8/I2))</f>
        <v>0</v>
      </c>
      <c r="AH6" s="1">
        <f>IF(AH3=0,0,(AH7*AH7-AH5*AH5)^0.5)</f>
        <v>0</v>
      </c>
      <c r="AI6" s="1">
        <f>IF(AI3=0,0,AI5*TAN(B9/I2))</f>
        <v>0</v>
      </c>
      <c r="AJ6" s="1">
        <f>IF(AJ3=0,0,B11/SIN(B9/I2))</f>
        <v>0</v>
      </c>
      <c r="AK6" s="1">
        <f>IF(AK3=0,0,AK5*TAN(B9/I2))</f>
        <v>0</v>
      </c>
      <c r="AL6" s="1">
        <f>IF(AL3=0,0,(AL7*AL7-AL5*AL5)^0.5)</f>
        <v>0</v>
      </c>
      <c r="AM6" s="1">
        <f>IF(AM3=0,0,(B11*B11+AM12*AM12)^0.5)</f>
        <v>0</v>
      </c>
      <c r="AN6" s="1">
        <f>IF(AN3=0,0,(AN7*AN7-AN5*AN5)^0.5)</f>
        <v>0</v>
      </c>
      <c r="AO6" s="1">
        <v>0</v>
      </c>
      <c r="AP6" s="1">
        <f>IF(AP3=0,0,(B11*B11+B12*B12)^0.5)</f>
        <v>0</v>
      </c>
      <c r="AQ6" s="1">
        <v>0</v>
      </c>
      <c r="AR6" s="1">
        <f>IF(AR3=0,0,(AR11*AR11+B12*B12)^0.5)</f>
        <v>0</v>
      </c>
    </row>
    <row r="7" spans="1:47" ht="13.5" customHeight="1">
      <c r="A7" s="11">
        <f t="shared" si="0"/>
      </c>
      <c r="B7" s="2"/>
      <c r="C7" s="7" t="str">
        <f>IF(AP1="","Hypothenuse","")</f>
        <v>Hypothenuse</v>
      </c>
      <c r="D7" s="12" t="str">
        <f>IF(AP1="","c","")</f>
        <v>c</v>
      </c>
      <c r="E7" s="13" t="str">
        <f t="shared" si="1"/>
        <v>=</v>
      </c>
      <c r="F7" s="15">
        <f t="shared" si="2"/>
        <v>1.13137</v>
      </c>
      <c r="G7" s="7" t="str">
        <f>$G$1</f>
        <v>cm</v>
      </c>
      <c r="H7" s="4">
        <f>MAX(B7,I7:AR7)</f>
        <v>1.1313708498984762</v>
      </c>
      <c r="I7" s="1">
        <f>IF(I3=0,0,(B5*B5+B6*B6)^0.5)</f>
        <v>0</v>
      </c>
      <c r="J7" s="14"/>
      <c r="K7" s="1">
        <f>IF(K3=0,0,B5/SIN(B8/I2))</f>
        <v>1.1313708498984762</v>
      </c>
      <c r="L7" s="1">
        <f>IF(L3=0,0,B5/COS(B9/I2))</f>
        <v>0</v>
      </c>
      <c r="M7" s="1">
        <f>IF(M3=0,0,B5/SIN(M8/I2))</f>
        <v>0</v>
      </c>
      <c r="N7" s="1">
        <v>0</v>
      </c>
      <c r="O7" s="1">
        <f>IF(O3=0,0,B5/COS(O9/I2))</f>
        <v>0</v>
      </c>
      <c r="P7" s="1">
        <f>IF(P3=0,0,(B5*B5+P6*P6)^0.5)</f>
        <v>0</v>
      </c>
      <c r="Q7" s="14"/>
      <c r="R7" s="1">
        <f>IF(R3=0,0,B6/COS(B8/I2))</f>
        <v>0</v>
      </c>
      <c r="S7" s="1">
        <f>IF(S3=0,0,(S5*S5+B6*B6)^0.5)</f>
        <v>0</v>
      </c>
      <c r="T7" s="1">
        <v>0</v>
      </c>
      <c r="U7" s="1">
        <f>IF(U3=0,0,(U5*U5+B6*B6)^0.5)</f>
        <v>0</v>
      </c>
      <c r="V7" s="1">
        <f>IF(V3=0,0,(V5*V5+B6*B6)^0.5)</f>
        <v>0</v>
      </c>
      <c r="W7" s="1">
        <f>IF(W3=0,0,(W5*W5+B6*B6)^0.5)</f>
        <v>0</v>
      </c>
      <c r="X7" s="14"/>
      <c r="Y7" s="14"/>
      <c r="Z7" s="14"/>
      <c r="AA7" s="14"/>
      <c r="AB7" s="14"/>
      <c r="AC7" s="14"/>
      <c r="AD7" s="1">
        <v>0</v>
      </c>
      <c r="AE7" s="1">
        <f>IF(AE3=0,0,(AE5*AE5+AE6*AE6)^0.5)</f>
        <v>0</v>
      </c>
      <c r="AF7" s="1">
        <f>IF(AF3=0,0,(AF5*AF5+AF6*AF6)^0.5)</f>
        <v>0</v>
      </c>
      <c r="AG7" s="1">
        <f>IF(AG3=0,0,(AG5*AG5+AG6*AG6)^0.5)</f>
        <v>0</v>
      </c>
      <c r="AH7" s="1">
        <f>IF(AH3=0,0,AH5/SIN(B8/I2))</f>
        <v>0</v>
      </c>
      <c r="AI7" s="1">
        <f>IF(AI3=0,0,(AI5*AI5+AI6*AI6)^0.5)</f>
        <v>0</v>
      </c>
      <c r="AJ7" s="1">
        <f>IF(AJ3=0,0,(AJ5*AJ5+AJ6*AJ6)^0.5)</f>
        <v>0</v>
      </c>
      <c r="AK7" s="1">
        <f>IF(AK3=0,0,(AK5*AK5+AK6*AK6)^0.5)</f>
        <v>0</v>
      </c>
      <c r="AL7" s="1">
        <f>IF(AL3=0,0,AL5/SIN(AL8/I2))</f>
        <v>0</v>
      </c>
      <c r="AM7" s="1">
        <f>IF(AM3=0,0,B10+B11)</f>
        <v>0</v>
      </c>
      <c r="AN7" s="1">
        <f>IF(AN3=0,0,AN5/SIN(AN8/I2))</f>
        <v>0</v>
      </c>
      <c r="AO7" s="1">
        <v>0</v>
      </c>
      <c r="AP7" s="1">
        <f>IF(AP3=0,0,(AP5*AP5+AP6*AP6)^0.5)</f>
        <v>0</v>
      </c>
      <c r="AQ7" s="1">
        <v>0</v>
      </c>
      <c r="AR7" s="1">
        <f>IF(AR3=0,0,B13*2/B12)</f>
        <v>0</v>
      </c>
      <c r="AU7" s="7" t="s">
        <v>41</v>
      </c>
    </row>
    <row r="8" spans="1:47" ht="13.5" customHeight="1">
      <c r="A8" s="11" t="str">
        <f t="shared" si="0"/>
        <v>E</v>
      </c>
      <c r="B8" s="2">
        <v>45</v>
      </c>
      <c r="C8" s="7" t="str">
        <f>IF(AP1="","Winkel","")</f>
        <v>Winkel</v>
      </c>
      <c r="D8" s="16" t="str">
        <f>IF(AP1="","a","")</f>
        <v>a</v>
      </c>
      <c r="E8" s="13">
        <f t="shared" si="1"/>
      </c>
      <c r="F8" s="7">
        <f t="shared" si="2"/>
        <v>45</v>
      </c>
      <c r="G8" s="17" t="s">
        <v>42</v>
      </c>
      <c r="H8" s="4">
        <f>IF(B8&gt;0,B8,IF(B9&gt;0,90-B9,MAX(I8:AR8)))</f>
        <v>45</v>
      </c>
      <c r="I8" s="1">
        <f>IF(I3=0,0,ASIN(B5/I7)*I2)</f>
        <v>0</v>
      </c>
      <c r="J8" s="1">
        <f>IF(J3=0,0,ASIN(B5/B7)*I2)</f>
        <v>0</v>
      </c>
      <c r="K8" s="14"/>
      <c r="L8" s="1">
        <f>IF(L3=0,0,90-B9)</f>
        <v>0</v>
      </c>
      <c r="M8" s="1">
        <f>IF(M3=0,0,ASIN(B10/B5)*I2)</f>
        <v>0</v>
      </c>
      <c r="N8" s="1">
        <v>0</v>
      </c>
      <c r="O8" s="1">
        <f>IF(O3=0,0,90-O9)</f>
        <v>0</v>
      </c>
      <c r="P8" s="1">
        <f>IF(P3=0,0,ASIN(B5/P7)*I2)</f>
        <v>0</v>
      </c>
      <c r="Q8" s="1">
        <f>IF(Q3=0,0,ACOS(B6/B7)*I2)</f>
        <v>0</v>
      </c>
      <c r="R8" s="14"/>
      <c r="S8" s="1">
        <f>IF(S3=0,0,90-B9)</f>
        <v>0</v>
      </c>
      <c r="T8" s="1">
        <v>0</v>
      </c>
      <c r="U8" s="1">
        <f>IF(U3=0,0,ACOS(B11/B6)*I2)</f>
        <v>0</v>
      </c>
      <c r="V8" s="1">
        <f>IF(V3=0,0,ACOS(B12/B6)*I2)</f>
        <v>0</v>
      </c>
      <c r="W8" s="1">
        <f>IF(W3=0,0,ACOS(W11/B6)*I2)</f>
        <v>0</v>
      </c>
      <c r="X8" s="14"/>
      <c r="Y8" s="1">
        <f>IF(Y3=0,0,90-B9)</f>
        <v>0</v>
      </c>
      <c r="Z8" s="1">
        <f>IF(Z3=0,0,ACOS(Z11/Z6)*I2)</f>
        <v>0</v>
      </c>
      <c r="AA8" s="1">
        <f>IF(AA3=0,0,ACOS(B11/AA6)*I2)</f>
        <v>0</v>
      </c>
      <c r="AB8" s="1">
        <f>IF(AB3=0,0,ACOS(AB11/AB6)*I2)</f>
        <v>0</v>
      </c>
      <c r="AC8" s="1">
        <f>IF(AC3=0,0,ACOS(AC11/AC6)*I2)</f>
        <v>0</v>
      </c>
      <c r="AD8" s="14">
        <v>0</v>
      </c>
      <c r="AE8" s="14"/>
      <c r="AF8" s="14"/>
      <c r="AG8" s="14"/>
      <c r="AH8" s="14"/>
      <c r="AI8" s="1">
        <f>IF(AI3=0,0,90-B9)</f>
        <v>0</v>
      </c>
      <c r="AJ8" s="1">
        <f>IF(AJ3=0,0,90-B9)</f>
        <v>0</v>
      </c>
      <c r="AK8" s="1">
        <f>IF(AK3=0,0,90-B9)</f>
        <v>0</v>
      </c>
      <c r="AL8" s="1">
        <f>IF(AL3=0,0,90-B9)</f>
        <v>0</v>
      </c>
      <c r="AM8" s="1">
        <f>IF(AM3=0,0,ACOS(B11/AM6)*I2)</f>
        <v>0</v>
      </c>
      <c r="AN8" s="1">
        <f>IF(AN3=0,0,ASIN(B10/AN5)*I2)</f>
        <v>0</v>
      </c>
      <c r="AO8" s="1">
        <v>0</v>
      </c>
      <c r="AP8" s="1">
        <f>IF(AP3=0,0,ACOS(B11/AP6)*I2)</f>
        <v>0</v>
      </c>
      <c r="AQ8" s="1">
        <v>0</v>
      </c>
      <c r="AR8" s="1">
        <f>IF(AR3=0,0,ACOS(AR11/AR6)*I2)</f>
        <v>0</v>
      </c>
      <c r="AS8" s="7">
        <f>IF(MOD(F8,1)=0,"",INT(F8)&amp;" °  "&amp;ROUND(MOD(F8,1)*60,1)&amp;" '")</f>
      </c>
      <c r="AU8" s="18"/>
    </row>
    <row r="9" spans="1:45" ht="13.5" customHeight="1">
      <c r="A9" s="11">
        <f t="shared" si="0"/>
      </c>
      <c r="B9" s="2"/>
      <c r="C9" s="7" t="s">
        <v>43</v>
      </c>
      <c r="D9" s="16" t="s">
        <v>44</v>
      </c>
      <c r="E9" s="13" t="str">
        <f t="shared" si="1"/>
        <v>=</v>
      </c>
      <c r="F9" s="7">
        <f t="shared" si="2"/>
        <v>45</v>
      </c>
      <c r="G9" s="17" t="s">
        <v>42</v>
      </c>
      <c r="H9" s="4">
        <f>IF(B9&gt;0,B9,IF(B8&gt;0,90-B8,MAX(I9:AR9)))</f>
        <v>45</v>
      </c>
      <c r="I9" s="1">
        <f>IF(I3=0,0,90-I8)</f>
        <v>0</v>
      </c>
      <c r="J9" s="1">
        <f>IF(J3=0,0,90-J8)</f>
        <v>0</v>
      </c>
      <c r="K9" s="1">
        <f>IF(K3=0,0,90-B8)</f>
        <v>45</v>
      </c>
      <c r="L9" s="14"/>
      <c r="M9" s="1">
        <f>IF(M3=0,0,90-M8)</f>
        <v>0</v>
      </c>
      <c r="N9" s="1">
        <v>0</v>
      </c>
      <c r="O9" s="1">
        <f>IF(O3=0,0,ACOS(O10/B5)*I2)</f>
        <v>0</v>
      </c>
      <c r="P9" s="1">
        <f>IF(P3=0,0,90-P8)</f>
        <v>0</v>
      </c>
      <c r="Q9" s="1">
        <f>IF(Q3=0,0,90-Q8)</f>
        <v>0</v>
      </c>
      <c r="R9" s="1">
        <f>IF(R3=0,0,90-B8)</f>
        <v>0</v>
      </c>
      <c r="S9" s="14"/>
      <c r="T9" s="1">
        <v>0</v>
      </c>
      <c r="U9" s="1">
        <f>IF(U3=0,0,90-U8)</f>
        <v>0</v>
      </c>
      <c r="V9" s="1">
        <f>IF(V3=0,0,90-V8)</f>
        <v>0</v>
      </c>
      <c r="W9" s="1">
        <f>IF(W3=0,0,90-W8)</f>
        <v>0</v>
      </c>
      <c r="X9" s="1">
        <f>IF($A$4="r","(FW)  frodnereD ,ekcirF retlaW",IF(X3=0,0,90-B8))</f>
        <v>0</v>
      </c>
      <c r="Y9" s="14"/>
      <c r="Z9" s="1">
        <f>IF(Z3=0,0,90-Z8)</f>
        <v>0</v>
      </c>
      <c r="AA9" s="1">
        <f>IF(AA3=0,0,90-AA8)</f>
        <v>0</v>
      </c>
      <c r="AB9" s="1">
        <f>IF(AB3=0,0,90-AB8)</f>
        <v>0</v>
      </c>
      <c r="AC9" s="1">
        <f>IF(AC3=0,0,90-AC8)</f>
        <v>0</v>
      </c>
      <c r="AD9" s="14">
        <v>0</v>
      </c>
      <c r="AE9" s="1">
        <f>IF(AE3=0,0,90-B8)</f>
        <v>0</v>
      </c>
      <c r="AF9" s="1">
        <f>IF(AF3=0,0,90-B8)</f>
        <v>0</v>
      </c>
      <c r="AG9" s="1">
        <f>IF(AG3=0,0,90-B8)</f>
        <v>0</v>
      </c>
      <c r="AH9" s="1">
        <f>IF(AH3=0,0,90-B8)</f>
        <v>0</v>
      </c>
      <c r="AI9" s="14"/>
      <c r="AJ9" s="14"/>
      <c r="AK9" s="14"/>
      <c r="AL9" s="14"/>
      <c r="AM9" s="1">
        <f>IF(AM3=0,0,90-AM8)</f>
        <v>0</v>
      </c>
      <c r="AN9" s="1">
        <f>IF(AN3=0,0,90-AN8)</f>
        <v>0</v>
      </c>
      <c r="AO9" s="1">
        <v>0</v>
      </c>
      <c r="AP9" s="1">
        <f>IF(AP3=0,0,90-AP8)</f>
        <v>0</v>
      </c>
      <c r="AQ9" s="1">
        <v>0</v>
      </c>
      <c r="AR9" s="1">
        <f>IF(AR3=0,0,90-AR8)</f>
        <v>0</v>
      </c>
      <c r="AS9" s="7">
        <f>IF(MOD(F9,1)=0,"",INT(F9)&amp;" °  "&amp;ROUND(MOD(F9,1)*60,1)&amp;" '")</f>
      </c>
    </row>
    <row r="10" spans="1:48" ht="13.5" customHeight="1">
      <c r="A10" s="11">
        <f t="shared" si="0"/>
      </c>
      <c r="B10" s="2"/>
      <c r="C10" s="7" t="s">
        <v>45</v>
      </c>
      <c r="D10" s="12" t="s">
        <v>46</v>
      </c>
      <c r="E10" s="13" t="str">
        <f t="shared" si="1"/>
        <v>=</v>
      </c>
      <c r="F10" s="7">
        <f t="shared" si="2"/>
        <v>0.56569</v>
      </c>
      <c r="G10" s="7" t="str">
        <f>$G$1</f>
        <v>cm</v>
      </c>
      <c r="H10" s="4">
        <f>MAX(B10,I10:AR10)</f>
        <v>0.565685424949238</v>
      </c>
      <c r="I10" s="1">
        <f>IF(I3=0,0,B5*B5/I7)</f>
        <v>0</v>
      </c>
      <c r="J10" s="1">
        <f>IF(J3=0,0,B5*B5/B7)</f>
        <v>0</v>
      </c>
      <c r="K10" s="1">
        <f>IF(K3=0,0,B5*B5/K7)</f>
        <v>0.565685424949238</v>
      </c>
      <c r="L10" s="1">
        <f>IF(L3=0,0,B5*B5/L7)</f>
        <v>0</v>
      </c>
      <c r="M10" s="14"/>
      <c r="N10" s="1">
        <v>0</v>
      </c>
      <c r="O10" s="1">
        <f>IF(O3=0,0,(B5*B5-B12*B12)^0.5)</f>
        <v>0</v>
      </c>
      <c r="P10" s="1">
        <f>IF(P3=0,0,B5*B5/P7)</f>
        <v>0</v>
      </c>
      <c r="Q10" s="1">
        <f>IF(Q3=0,0,Q5*Q5/B7)</f>
        <v>0</v>
      </c>
      <c r="R10" s="1">
        <f>IF(R3=0,0,R5*R5/R7)</f>
        <v>0</v>
      </c>
      <c r="S10" s="1">
        <f>IF(S3=0,0,S5*S5/S7)</f>
        <v>0</v>
      </c>
      <c r="T10" s="14">
        <v>0</v>
      </c>
      <c r="U10" s="1">
        <f>IF(U3=0,0,U5*U5/U7)</f>
        <v>0</v>
      </c>
      <c r="V10" s="1">
        <f>IF(V3=0,0,V5*V5/V7)</f>
        <v>0</v>
      </c>
      <c r="W10" s="1">
        <f>IF(W3=0,0,W5*W5/W7)</f>
        <v>0</v>
      </c>
      <c r="X10" s="1">
        <f>IF(X3=0,0,X5*X5/B7)</f>
        <v>0</v>
      </c>
      <c r="Y10" s="1">
        <f>IF(Y3=0,0,Y5*Y5/B7)</f>
        <v>0</v>
      </c>
      <c r="Z10" s="14"/>
      <c r="AA10" s="1">
        <f>IF(AA3=0,0,B7-B11)</f>
        <v>0</v>
      </c>
      <c r="AB10" s="19">
        <f>IF(AB3=0,0,B7/2-(B7*B7/4-B12*B12)^0.5)</f>
        <v>0</v>
      </c>
      <c r="AC10" s="19">
        <f>IF(AC3=0,0,B7/2-(B7*B7/4-AC12*AC12)^0.5)</f>
        <v>0</v>
      </c>
      <c r="AD10" s="1">
        <v>0</v>
      </c>
      <c r="AE10" s="14"/>
      <c r="AF10" s="1">
        <f>IF(AF3=0,0,AF5*AF5/AF7)</f>
        <v>0</v>
      </c>
      <c r="AG10" s="1">
        <f>IF(AG3=0,0,AG5*AG5/AG7)</f>
        <v>0</v>
      </c>
      <c r="AH10" s="1">
        <f>IF(AH3=0,0,AH5*AH5/AH7)</f>
        <v>0</v>
      </c>
      <c r="AI10" s="14"/>
      <c r="AJ10" s="1">
        <f>IF(AJ3=0,0,AJ5*AJ5/AJ7)</f>
        <v>0</v>
      </c>
      <c r="AK10" s="1">
        <f>IF(AK3=0,0,AK5*AK5/AK7)</f>
        <v>0</v>
      </c>
      <c r="AL10" s="1">
        <f>IF(AL3=0,0,AL5*AL5/AL7)</f>
        <v>0</v>
      </c>
      <c r="AM10" s="14"/>
      <c r="AN10" s="14"/>
      <c r="AO10" s="14">
        <v>0</v>
      </c>
      <c r="AP10" s="1">
        <f>IF(AP3=0,0,AP5*AP5/AP7)</f>
        <v>0</v>
      </c>
      <c r="AQ10" s="1">
        <v>0</v>
      </c>
      <c r="AR10" s="19">
        <f>IF(AR3=0,0,AR7/2-(AR7*AR7/4-B12*B12)^0.5)</f>
        <v>0</v>
      </c>
      <c r="AS10" s="1" t="s">
        <v>47</v>
      </c>
      <c r="AT10" s="7" t="s">
        <v>48</v>
      </c>
      <c r="AU10" s="7" t="s">
        <v>49</v>
      </c>
      <c r="AV10" s="7" t="s">
        <v>50</v>
      </c>
    </row>
    <row r="11" spans="1:44" ht="13.5" customHeight="1">
      <c r="A11" s="11">
        <f t="shared" si="0"/>
      </c>
      <c r="B11" s="2"/>
      <c r="C11" s="7" t="s">
        <v>51</v>
      </c>
      <c r="D11" s="12" t="s">
        <v>52</v>
      </c>
      <c r="E11" s="13" t="str">
        <f t="shared" si="1"/>
        <v>=</v>
      </c>
      <c r="F11" s="7">
        <f t="shared" si="2"/>
        <v>0.56569</v>
      </c>
      <c r="G11" s="7" t="str">
        <f>$G$1</f>
        <v>cm</v>
      </c>
      <c r="H11" s="4">
        <f>MAX(B11,I11:AR11)</f>
        <v>0.5656854249492382</v>
      </c>
      <c r="I11" s="1">
        <f>IF(I3=0,0,I7-I10)</f>
        <v>0</v>
      </c>
      <c r="J11" s="1">
        <f>IF(J3=0,0,B7-J10)</f>
        <v>0</v>
      </c>
      <c r="K11" s="1">
        <f>IF(K3=0,0,K7-K10)</f>
        <v>0.5656854249492382</v>
      </c>
      <c r="L11" s="1">
        <f>IF(L3=0,0,L7-L10)</f>
        <v>0</v>
      </c>
      <c r="M11" s="1">
        <f>IF(M3=0,0,M7-B10)</f>
        <v>0</v>
      </c>
      <c r="N11" s="14">
        <v>0</v>
      </c>
      <c r="O11" s="1">
        <f>IF(O3=0,0,O7-O10)</f>
        <v>0</v>
      </c>
      <c r="P11" s="1">
        <f>IF(P3=0,0,P7-P10)</f>
        <v>0</v>
      </c>
      <c r="Q11" s="1">
        <f>IF(Q3=0,0,B7-Q10)</f>
        <v>0</v>
      </c>
      <c r="R11" s="1">
        <f>IF(R3=0,0,R7-R10)</f>
        <v>0</v>
      </c>
      <c r="S11" s="1">
        <f>IF(S3=0,0,S7-S10)</f>
        <v>0</v>
      </c>
      <c r="T11" s="1">
        <v>0</v>
      </c>
      <c r="U11" s="14"/>
      <c r="V11" s="1">
        <f>IF(V3=0,0,V7-V10)</f>
        <v>0</v>
      </c>
      <c r="W11" s="1">
        <f>IF(W3=0,0,W7-W10)</f>
        <v>0</v>
      </c>
      <c r="X11" s="1">
        <f>IF(X3=0,0,B7-X10)</f>
        <v>0</v>
      </c>
      <c r="Y11" s="1">
        <f>IF(Y3=0,0,B7-Y10)</f>
        <v>0</v>
      </c>
      <c r="Z11" s="1">
        <f>IF(Z3=0,0,B7-B10)</f>
        <v>0</v>
      </c>
      <c r="AA11" s="14"/>
      <c r="AB11" s="1">
        <f>IF(AB3=0,0,B7-AB10)</f>
        <v>0</v>
      </c>
      <c r="AC11" s="1">
        <f>IF(AC3=0,0,B7-AC10)</f>
        <v>0</v>
      </c>
      <c r="AD11" s="1">
        <v>0</v>
      </c>
      <c r="AE11" s="1">
        <f>IF(AE3=0,0,AE7-B10)</f>
        <v>0</v>
      </c>
      <c r="AF11" s="14"/>
      <c r="AG11" s="1">
        <f>IF($A$4=24,"24.02.1949 in Bremerhaven",IF(AG3=0,0,AG7-AG10))</f>
        <v>0</v>
      </c>
      <c r="AH11" s="1">
        <f>IF(AH3=0,0,AH7-AH10)</f>
        <v>0</v>
      </c>
      <c r="AI11" s="1">
        <f>IF(AI3=0,0,AI7-B10)</f>
        <v>0</v>
      </c>
      <c r="AJ11" s="14"/>
      <c r="AK11" s="1">
        <f>IF(AK3=0,0,AK7-AK10)</f>
        <v>0</v>
      </c>
      <c r="AL11" s="1">
        <f>IF(AL3=0,0,AL7-AL10)</f>
        <v>0</v>
      </c>
      <c r="AM11" s="14"/>
      <c r="AN11" s="1">
        <f>IF(AN3=0,0,AN7-B10)</f>
        <v>0</v>
      </c>
      <c r="AO11" s="1">
        <v>0</v>
      </c>
      <c r="AP11" s="14"/>
      <c r="AQ11" s="14">
        <v>0</v>
      </c>
      <c r="AR11" s="1">
        <f>IF($A$4=7.1,"W a l t e r   F R I C K E,   D e r e n d o r f   (W F)",IF(AR3=0,0,AR7-AR10))</f>
        <v>0</v>
      </c>
    </row>
    <row r="12" spans="1:44" ht="13.5" customHeight="1">
      <c r="A12" s="11">
        <f t="shared" si="0"/>
      </c>
      <c r="B12" s="2"/>
      <c r="C12" s="7" t="s">
        <v>53</v>
      </c>
      <c r="D12" s="12" t="s">
        <v>54</v>
      </c>
      <c r="E12" s="13" t="str">
        <f t="shared" si="1"/>
        <v>=</v>
      </c>
      <c r="F12" s="7">
        <f t="shared" si="2"/>
        <v>0.56569</v>
      </c>
      <c r="G12" s="7" t="str">
        <f>$G$1</f>
        <v>cm</v>
      </c>
      <c r="H12" s="4">
        <f>MAX(B12,I12:AR12)</f>
        <v>0.5656854249492381</v>
      </c>
      <c r="I12" s="1">
        <f>IF(I3=0,0,(I10*I11)^0.5)</f>
        <v>0</v>
      </c>
      <c r="J12" s="1">
        <f>IF(J3=0,0,(J10*J11)^0.5)</f>
        <v>0</v>
      </c>
      <c r="K12" s="1">
        <f>IF(K3=0,0,(K10*K11)^0.5)</f>
        <v>0.5656854249492381</v>
      </c>
      <c r="L12" s="1">
        <f>IF(L3=0,0,(L10*L11)^0.5)</f>
        <v>0</v>
      </c>
      <c r="M12" s="1">
        <f>IF(M3=0,0,(B10*M11)^0.5)</f>
        <v>0</v>
      </c>
      <c r="N12" s="1">
        <v>0</v>
      </c>
      <c r="O12" s="14"/>
      <c r="P12" s="1">
        <f>IF(P3=0,0,B13*2/P7)</f>
        <v>0</v>
      </c>
      <c r="Q12" s="1">
        <f>IF(Q3=0,0,(Q10*Q11)^0.5)</f>
        <v>0</v>
      </c>
      <c r="R12" s="1">
        <f>IF(R3=0,0,(R10*R11)^0.5)</f>
        <v>0</v>
      </c>
      <c r="S12" s="1">
        <f>IF(S3=0,0,(S10*S11)^0.5)</f>
        <v>0</v>
      </c>
      <c r="T12" s="1">
        <v>0</v>
      </c>
      <c r="U12" s="1">
        <f>IF(U3=0,0,(U10*B11)^0.5)</f>
        <v>0</v>
      </c>
      <c r="V12" s="14"/>
      <c r="W12" s="1">
        <f>IF(W3=0,0,B13*2/W7)</f>
        <v>0</v>
      </c>
      <c r="X12" s="1">
        <f>IF(X3=0,0,(X10*X11)^0.5)</f>
        <v>0</v>
      </c>
      <c r="Y12" s="1">
        <f>IF(Y3=0,0,(Y10*Y11)^0.5)</f>
        <v>0</v>
      </c>
      <c r="Z12" s="1">
        <f>IF(Z3=0,0,(B10*Z11)^0.5)</f>
        <v>0</v>
      </c>
      <c r="AA12" s="1">
        <f>IF(AA3=0,0,(B11*AA10)^0.5)</f>
        <v>0</v>
      </c>
      <c r="AB12" s="14"/>
      <c r="AC12" s="1">
        <f>IF(AC3=0,0,B13*2/B7)</f>
        <v>0</v>
      </c>
      <c r="AD12" s="1">
        <v>0</v>
      </c>
      <c r="AE12" s="1">
        <f>IF(AE3=0,0,(B10*AE11)^0.5)</f>
        <v>0</v>
      </c>
      <c r="AF12" s="1">
        <f>IF(AF3=0,0,(AF10*B11)^0.5)</f>
        <v>0</v>
      </c>
      <c r="AG12" s="14"/>
      <c r="AH12" s="1">
        <f>IF(AH3=0,0,(AH10*AH11)^0.5)</f>
        <v>0</v>
      </c>
      <c r="AI12" s="1">
        <f>IF(AI3=0,0,(B10*AI11)^0.5)</f>
        <v>0</v>
      </c>
      <c r="AJ12" s="1">
        <f>IF(AJ3=0,0,(AJ10*B11)^0.5)</f>
        <v>0</v>
      </c>
      <c r="AK12" s="14"/>
      <c r="AL12" s="1">
        <f>IF(AL3=0,0,(AL10*AL11)^0.5)</f>
        <v>0</v>
      </c>
      <c r="AM12" s="1">
        <f>IF(AM3=0,0,(B10*B11)^0.5)</f>
        <v>0</v>
      </c>
      <c r="AN12" s="14"/>
      <c r="AO12" s="1">
        <v>0</v>
      </c>
      <c r="AP12" s="14"/>
      <c r="AQ12" s="1">
        <v>0</v>
      </c>
      <c r="AR12" s="14"/>
    </row>
    <row r="13" spans="1:48" ht="13.5" customHeight="1">
      <c r="A13" s="11">
        <f t="shared" si="0"/>
      </c>
      <c r="B13" s="2"/>
      <c r="C13" s="7" t="s">
        <v>55</v>
      </c>
      <c r="D13" s="12" t="s">
        <v>56</v>
      </c>
      <c r="E13" s="13" t="str">
        <f t="shared" si="1"/>
        <v>=</v>
      </c>
      <c r="F13" s="7">
        <f t="shared" si="2"/>
        <v>0.32</v>
      </c>
      <c r="G13" s="7" t="str">
        <f>$G$1&amp;IF($G$1=0,"","²")</f>
        <v>cm²</v>
      </c>
      <c r="H13" s="4">
        <f>MAX(B13,I13:AR13)</f>
        <v>0.32000000000000006</v>
      </c>
      <c r="I13" s="1">
        <f>IF(I3=0,0,B5*B6/2)</f>
        <v>0</v>
      </c>
      <c r="J13" s="1">
        <f>IF(J3=0,0,B5*J6/2)</f>
        <v>0</v>
      </c>
      <c r="K13" s="1">
        <f>IF(K3=0,0,B5*K6/2)</f>
        <v>0.32000000000000006</v>
      </c>
      <c r="L13" s="1">
        <f>IF(L3=0,0,B5*L6/2)</f>
        <v>0</v>
      </c>
      <c r="M13" s="1">
        <f>IF(M3=0,0,B5*M6/2)</f>
        <v>0</v>
      </c>
      <c r="N13" s="1">
        <v>0</v>
      </c>
      <c r="O13" s="1">
        <f>IF(O3=0,0,B5*O6/2)</f>
        <v>0</v>
      </c>
      <c r="P13" s="14"/>
      <c r="Q13" s="1">
        <f>IF(Q3=0,0,Q5*B6/2)</f>
        <v>0</v>
      </c>
      <c r="R13" s="1">
        <f>IF(R3=0,0,R5*B6/2)</f>
        <v>0</v>
      </c>
      <c r="S13" s="1">
        <f>IF(S3=0,0,S5*B6/2)</f>
        <v>0</v>
      </c>
      <c r="T13" s="1">
        <v>0</v>
      </c>
      <c r="U13" s="1">
        <f>IF(U3=0,0,U5*B6/2)</f>
        <v>0</v>
      </c>
      <c r="V13" s="1">
        <f>IF(V3=0,0,V5*B6/2)</f>
        <v>0</v>
      </c>
      <c r="W13" s="14"/>
      <c r="X13" s="1">
        <f>IF(X3=0,0,X5*X6/2)</f>
        <v>0</v>
      </c>
      <c r="Y13" s="1">
        <f>IF(Y3=0,0,Y5*Y6/2)</f>
        <v>0</v>
      </c>
      <c r="Z13" s="1">
        <f>IF(Z3=0,0,Z5*Z6/2)</f>
        <v>0</v>
      </c>
      <c r="AA13" s="1">
        <f>IF(AA3=0,0,AA5*AA6/2)</f>
        <v>0</v>
      </c>
      <c r="AB13" s="1">
        <f>IF(AB3=0,0,AB5*AB6/2)</f>
        <v>0</v>
      </c>
      <c r="AC13" s="14"/>
      <c r="AD13" s="1">
        <v>0</v>
      </c>
      <c r="AE13" s="1">
        <f>IF(AE3=0,0,AE5*AE6/2)</f>
        <v>0</v>
      </c>
      <c r="AF13" s="1">
        <f>IF(AF3=0,0,AF5*AF6/2)</f>
        <v>0</v>
      </c>
      <c r="AG13" s="1">
        <f>IF(AG3=0,0,AG5*AG6/2)</f>
        <v>0</v>
      </c>
      <c r="AH13" s="14"/>
      <c r="AI13" s="1">
        <f>IF(AI3=0,0,AI5*AI6/2)</f>
        <v>0</v>
      </c>
      <c r="AJ13" s="1">
        <f>IF(AJ3=0,0,AJ5*AJ6/2)</f>
        <v>0</v>
      </c>
      <c r="AK13" s="1">
        <f>IF(AK3=0,0,AK5*AK6/2)</f>
        <v>0</v>
      </c>
      <c r="AL13" s="14"/>
      <c r="AM13" s="1">
        <f>IF(AM3=0,0,AM5*AM6/2)</f>
        <v>0</v>
      </c>
      <c r="AN13" s="1">
        <f>IF(AN3=0,0,AN5*AN6/2)</f>
        <v>0</v>
      </c>
      <c r="AO13" s="14">
        <v>0</v>
      </c>
      <c r="AP13" s="1">
        <f>IF(AP3=0,0,AP5*AP6/2)</f>
        <v>0</v>
      </c>
      <c r="AQ13" s="14">
        <v>0</v>
      </c>
      <c r="AR13" s="14"/>
      <c r="AS13" s="20" t="s">
        <v>57</v>
      </c>
      <c r="AT13" s="21" t="s">
        <v>58</v>
      </c>
      <c r="AU13" s="15" t="s">
        <v>46</v>
      </c>
      <c r="AV13" s="20" t="s">
        <v>44</v>
      </c>
    </row>
    <row r="14" spans="1:49" ht="13.5" customHeight="1">
      <c r="A14" s="22">
        <f>IF(COUNTIF(B5:B13,"&gt;0")=2,0,1)</f>
        <v>0</v>
      </c>
      <c r="B14" s="23">
        <f>IF(AND(B8&gt;0,B9&gt;0),"nur einen Winkel eingeben !",IF(COUNTIF(B5:B13,"&gt;0")&lt;2,"2 Eingaben !",IF(COUNTIF(B5:B13,"&gt;0")&gt;2,"nur 2 Eingaben !",IF(COUNTIF(F5:F13,"0")&gt;0,"keine oder keine eindeutige Lösung !",""))))</f>
      </c>
      <c r="C14" s="7"/>
      <c r="AS14" s="7" t="s">
        <v>59</v>
      </c>
      <c r="AT14" s="15" t="s">
        <v>60</v>
      </c>
      <c r="AW14" s="7" t="s">
        <v>61</v>
      </c>
    </row>
    <row r="15" spans="3:52" ht="13.5" customHeight="1">
      <c r="C15" s="7" t="s">
        <v>62</v>
      </c>
      <c r="D15" s="12" t="s">
        <v>63</v>
      </c>
      <c r="E15" s="24" t="s">
        <v>64</v>
      </c>
      <c r="F15" s="7">
        <f>IF(OR(F13=0,ISERROR(H15)),0,ROUND(F5+F6+F7,F1))</f>
        <v>2.73137</v>
      </c>
      <c r="G15" s="7" t="str">
        <f aca="true" t="shared" si="3" ref="G15:G23">$G$1</f>
        <v>cm</v>
      </c>
      <c r="H15" s="1">
        <f>SUM(H5:H13)</f>
        <v>94.74842712474617</v>
      </c>
      <c r="AX15" s="25"/>
      <c r="AY15" s="25"/>
      <c r="AZ15" s="25"/>
    </row>
    <row r="16" spans="2:52" ht="13.5" customHeight="1">
      <c r="B16"/>
      <c r="C16" s="26" t="s">
        <v>65</v>
      </c>
      <c r="D16" s="27" t="s">
        <v>66</v>
      </c>
      <c r="E16" s="13" t="s">
        <v>64</v>
      </c>
      <c r="F16" s="7">
        <f>IF(OR(F13=0,ISERROR(H15)),0,ROUND(((F15/2-F5)*(F15/2-F6)*(F15/2-F7)/(F15/2))^0.5,F1))</f>
        <v>0.23431</v>
      </c>
      <c r="G16" s="7" t="str">
        <f t="shared" si="3"/>
        <v>cm</v>
      </c>
      <c r="AX16" s="25"/>
      <c r="AY16" s="25"/>
      <c r="AZ16" s="25"/>
    </row>
    <row r="17" spans="2:52" ht="13.5" customHeight="1">
      <c r="B17"/>
      <c r="C17" s="26" t="s">
        <v>67</v>
      </c>
      <c r="D17" s="27" t="s">
        <v>68</v>
      </c>
      <c r="E17" s="13" t="s">
        <v>64</v>
      </c>
      <c r="F17" s="7">
        <f>IF(OR(F13=0,ISERROR(H15)),0,ROUND(F5/(2*SIN(F8*PI()/180)),F1))</f>
        <v>0.56569</v>
      </c>
      <c r="G17" s="7" t="str">
        <f t="shared" si="3"/>
        <v>cm</v>
      </c>
      <c r="AX17" s="25">
        <v>0</v>
      </c>
      <c r="AY17" s="25">
        <v>0</v>
      </c>
      <c r="AZ17" s="25"/>
    </row>
    <row r="18" spans="3:52" ht="13.5" customHeight="1">
      <c r="C18" s="26" t="s">
        <v>69</v>
      </c>
      <c r="D18" s="27" t="s">
        <v>70</v>
      </c>
      <c r="E18" s="13" t="s">
        <v>64</v>
      </c>
      <c r="F18" s="28">
        <f>IF(ISERROR(H15),0,ROUND(0.5*(F6*F6+F7*F7+2*F6*F7*COS(F8/(180/PI())))^0.5,F1))</f>
        <v>0.89443</v>
      </c>
      <c r="G18" s="7" t="str">
        <f t="shared" si="3"/>
        <v>cm</v>
      </c>
      <c r="AQ18"/>
      <c r="AR18"/>
      <c r="AX18" s="25">
        <v>1</v>
      </c>
      <c r="AY18" s="25">
        <v>0</v>
      </c>
      <c r="AZ18" s="25"/>
    </row>
    <row r="19" spans="2:52" ht="13.5" customHeight="1">
      <c r="B19"/>
      <c r="C19" s="29"/>
      <c r="D19" s="27" t="s">
        <v>71</v>
      </c>
      <c r="E19" s="13" t="s">
        <v>64</v>
      </c>
      <c r="F19" s="28">
        <f>IF(OR(F13=0,ISERROR(H15)),0,ROUND(0.5*(F7*F7+F5*F5+2*F7*F5*COS(F9/(180/PI())))^0.5,F1))</f>
        <v>0.89443</v>
      </c>
      <c r="G19" s="7" t="str">
        <f t="shared" si="3"/>
        <v>cm</v>
      </c>
      <c r="AQ19"/>
      <c r="AR19"/>
      <c r="AX19" s="25">
        <f>F11/MAX(F$5:F$7)</f>
        <v>0.5000044194207024</v>
      </c>
      <c r="AY19" s="25">
        <f>F12/MAX(F$5:F$7)</f>
        <v>0.5000044194207024</v>
      </c>
      <c r="AZ19" s="25"/>
    </row>
    <row r="20" spans="2:52" ht="13.5" customHeight="1">
      <c r="B20"/>
      <c r="C20" s="7"/>
      <c r="D20" s="27" t="s">
        <v>72</v>
      </c>
      <c r="E20" s="13" t="s">
        <v>64</v>
      </c>
      <c r="F20" s="28">
        <f>IF(OR(F13=0,ISERROR(H15)),0,ROUND(0.5*(F5*F5+F6*F6+2*F5*F6*COS(90/(180/PI())))^0.5,F1))</f>
        <v>0.56569</v>
      </c>
      <c r="G20" s="7" t="str">
        <f t="shared" si="3"/>
        <v>cm</v>
      </c>
      <c r="AQ20"/>
      <c r="AR20"/>
      <c r="AX20" s="25">
        <v>0</v>
      </c>
      <c r="AY20" s="25">
        <v>0</v>
      </c>
      <c r="AZ20" s="25"/>
    </row>
    <row r="21" spans="3:52" ht="13.5" customHeight="1">
      <c r="C21" s="27" t="s">
        <v>73</v>
      </c>
      <c r="D21" s="27" t="s">
        <v>74</v>
      </c>
      <c r="E21" s="13" t="s">
        <v>64</v>
      </c>
      <c r="F21" s="30">
        <f>IF(OR(F13=0,ISERROR(H15)),0,ROUND(2*F6*F7*COS(F8/(2*180/PI()))/(F6+F7),F1))</f>
        <v>0.86591</v>
      </c>
      <c r="G21" s="7" t="str">
        <f t="shared" si="3"/>
        <v>cm</v>
      </c>
      <c r="AQ21"/>
      <c r="AR21"/>
      <c r="AX21" s="25"/>
      <c r="AY21" s="25"/>
      <c r="AZ21" s="25"/>
    </row>
    <row r="22" spans="4:52" ht="13.5" customHeight="1">
      <c r="D22" s="27" t="s">
        <v>75</v>
      </c>
      <c r="E22" s="13" t="s">
        <v>64</v>
      </c>
      <c r="F22" s="28">
        <f>IF(OR(F13=0,ISERROR(H15)),0,ROUND(2*F7*F5*COS(F9/(2*180/PI()))/(F7+F5),F1))</f>
        <v>0.86591</v>
      </c>
      <c r="G22" s="7" t="str">
        <f t="shared" si="3"/>
        <v>cm</v>
      </c>
      <c r="AX22" s="25"/>
      <c r="AY22" s="25"/>
      <c r="AZ22" s="25"/>
    </row>
    <row r="23" spans="4:52" ht="13.5" customHeight="1">
      <c r="D23" s="27" t="s">
        <v>76</v>
      </c>
      <c r="E23" s="13" t="s">
        <v>64</v>
      </c>
      <c r="F23" s="28">
        <f>IF(OR(F13=0,ISERROR(H15)),0,ROUND(2*F5*F6*COS(90/(2*180/PI()))/(F5+F6),F1))</f>
        <v>0.56569</v>
      </c>
      <c r="G23" s="7" t="str">
        <f t="shared" si="3"/>
        <v>cm</v>
      </c>
      <c r="AX23" s="25"/>
      <c r="AY23" s="25"/>
      <c r="AZ23" s="25"/>
    </row>
    <row r="24" spans="2:52" ht="23.25" customHeight="1">
      <c r="B24" s="9">
        <f>IF(AND(B7&gt;0,B12&gt;0,A14=0,F13=0),"die Hypothenuse c muß mindestens das Doppelte der Höhe h sein !",IF(AND(F7&gt;0,OR(F5&gt;=F7,F6&gt;=F7)),"die Hypothenuse c muß jeweils größer als die Kathete a und b sein !",IF(AND(F5&lt;&gt;F6,OR(AND(B12&gt;0,B13&gt;0),AND(B7&gt;0,B13&gt;0),AND(B7&gt;0,B12&gt;0))),"oder:  a/b;  alpha/beta;  p/q   jeweils getauscht",IF(AND(A14=0,OR(AND(F10&gt;0,F5&gt;0,F10&gt;F5),AND(F11&gt;0,F6&gt;0,F11&gt;F6))),"die Projektion p bzw. q muß kleiner als die Kathete a bzw. b sein",""))))</f>
      </c>
      <c r="AV24"/>
      <c r="AW24"/>
      <c r="AX24" s="25"/>
      <c r="AY24" s="25"/>
      <c r="AZ24" s="25"/>
    </row>
    <row r="25" spans="2:49" ht="18" customHeight="1">
      <c r="B25"/>
      <c r="C25"/>
      <c r="F25" s="9" t="str">
        <f>"            "&amp;F1&amp;" Rundungsstelle"&amp;IF(ABS(F1)&lt;&gt;1,"n","")&amp;IF(AS8&lt;&gt;"",IF(F1=1,""," (Minuten: immer eine)"),"")</f>
        <v>            5 Rundungsstellen</v>
      </c>
      <c r="AV25"/>
      <c r="AW25"/>
    </row>
    <row r="26" spans="4:49" ht="14.25">
      <c r="D26"/>
      <c r="E26"/>
      <c r="AV26"/>
      <c r="AW26"/>
    </row>
    <row r="27" spans="4:49" ht="14.25">
      <c r="D27"/>
      <c r="E27"/>
      <c r="AV27"/>
      <c r="AW27"/>
    </row>
    <row r="28" spans="4:5" ht="14.25">
      <c r="D28"/>
      <c r="E28"/>
    </row>
    <row r="29" spans="4:5" ht="14.25">
      <c r="D29"/>
      <c r="E29"/>
    </row>
  </sheetData>
  <sheetProtection sheet="1" objects="1" scenarios="1"/>
  <printOptions/>
  <pageMargins left="0.64" right="0.46" top="1" bottom="1" header="0.4921259845" footer="0.4921259845"/>
  <pageSetup blackAndWhite="1" horizontalDpi="300" verticalDpi="300" orientation="portrait" paperSize="9" r:id="rId4"/>
  <headerFooter alignWithMargins="0">
    <oddFooter>&amp;L&amp;8&amp;D&amp;R&amp;8wfrernat.xls; 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G47"/>
  <sheetViews>
    <sheetView showGridLines="0" showZeros="0" showOutlineSymbols="0" zoomScale="110" zoomScaleNormal="110" workbookViewId="0" topLeftCell="A10">
      <selection activeCell="L43" sqref="L43"/>
    </sheetView>
  </sheetViews>
  <sheetFormatPr defaultColWidth="11.421875" defaultRowHeight="12.75" outlineLevelRow="1"/>
  <cols>
    <col min="1" max="1" width="3.28125" style="31" customWidth="1"/>
    <col min="2" max="2" width="5.8515625" style="31" customWidth="1"/>
    <col min="3" max="3" width="4.7109375" style="31" customWidth="1"/>
    <col min="4" max="4" width="8.7109375" style="31" customWidth="1"/>
    <col min="5" max="5" width="5.8515625" style="31" customWidth="1"/>
    <col min="6" max="6" width="2.28125" style="31" customWidth="1"/>
    <col min="7" max="7" width="16.57421875" style="31" customWidth="1"/>
    <col min="8" max="8" width="19.28125" style="31" customWidth="1"/>
    <col min="9" max="9" width="9.421875" style="31" customWidth="1"/>
    <col min="10" max="10" width="7.140625" style="31" customWidth="1"/>
    <col min="11" max="11" width="9.00390625" style="31" customWidth="1"/>
    <col min="12" max="13" width="6.421875" style="31" customWidth="1"/>
    <col min="14" max="14" width="7.00390625" style="31" customWidth="1"/>
    <col min="15" max="15" width="5.140625" style="31" customWidth="1"/>
    <col min="16" max="16" width="8.57421875" style="31" customWidth="1"/>
    <col min="17" max="28" width="6.421875" style="31" customWidth="1"/>
    <col min="29" max="29" width="9.7109375" style="31" customWidth="1"/>
    <col min="30" max="30" width="6.421875" style="31" customWidth="1"/>
    <col min="31" max="16384" width="11.421875" style="31" customWidth="1"/>
  </cols>
  <sheetData>
    <row r="1" spans="7:14" ht="15" hidden="1" outlineLevel="1">
      <c r="G1" s="32">
        <f>G3*SIN(G4/K1)/SIN(G6/K1)</f>
        <v>0.9999999999999994</v>
      </c>
      <c r="I1" s="31">
        <f>IF(COUNTIF(I4:AY9,"#zahl!")&gt;0,1,IF(OR(COUNTIF(B14:B19,"&gt;0")&gt;3,COUNTIF(I4:AZ9,"&lt;0")&gt;0,ISERROR(SUM(I4:AZ9)),SUM(I4:AZ9)=0),1,0))</f>
        <v>0</v>
      </c>
      <c r="J1" s="31">
        <f>IF(OR(I1=1,COUNTIF(B14:B19,"&gt;0")&gt;3,COUNTIF(I4:AZ9,"&lt;0")&gt;0,COUNTIF(G17:G19,"=90")&gt;0),0,IF(SUM(I2:AZ2)&gt;1,1,0))</f>
        <v>1</v>
      </c>
      <c r="K1" s="31">
        <f>180/PI()</f>
        <v>57.29577951308232</v>
      </c>
      <c r="L1" s="31">
        <f>G23/2</f>
        <v>15.88415</v>
      </c>
      <c r="M1" s="31">
        <f>(H14+H15+H16)/2</f>
        <v>10.30735</v>
      </c>
      <c r="N1" s="31">
        <f>IF(OR(B17=90,B18=90,B19=90),0,1)</f>
        <v>1</v>
      </c>
    </row>
    <row r="2" spans="7:33" ht="15" hidden="1" outlineLevel="1">
      <c r="G2" s="32">
        <f>G3*SIN(G5/K1)/SIN(G6/K1)</f>
        <v>1</v>
      </c>
      <c r="I2" s="33">
        <f>IF(AND(B14&gt;0,B15&gt;0,B16&gt;0),1,0)</f>
        <v>0</v>
      </c>
      <c r="J2" s="31">
        <f>IF(AND(B14&gt;0,B15&gt;0,B19&gt;0),1,0)</f>
        <v>0</v>
      </c>
      <c r="K2" s="31">
        <f>IF(AND(B14&gt;0,B15&gt;0,B17&gt;0),1,0)</f>
        <v>0</v>
      </c>
      <c r="L2" s="31">
        <f>IF(OR(K2=0,B14&gt;=B15,K8=0,N1=0),0,2)</f>
        <v>0</v>
      </c>
      <c r="M2" s="31">
        <f>IF(AND(B14&gt;0,B15&gt;0,B18&gt;0),1,0)</f>
        <v>0</v>
      </c>
      <c r="N2" s="31">
        <f>IF(OR(M2=0,B15&gt;=B14,M7=0),0,2)</f>
        <v>0</v>
      </c>
      <c r="O2" s="31">
        <f>IF(AND(B14&gt;0,B16&gt;0,B18&gt;0),1,0)</f>
        <v>0</v>
      </c>
      <c r="P2" s="31">
        <f>IF(AND(B14&gt;0,B16&gt;0,B17&gt;0),1,0)</f>
        <v>1</v>
      </c>
      <c r="Q2" s="31">
        <f>IF(OR(P2=0,B14&gt;=B16,P9=0,N1=0),0,2)</f>
        <v>2</v>
      </c>
      <c r="R2" s="31">
        <f>IF(AND(B14&gt;0,B16&gt;0,B19&gt;0),1,0)</f>
        <v>0</v>
      </c>
      <c r="S2" s="31">
        <f>IF(OR(R2=0,B16&gt;=B14,R8=0,N1=0),0,2)</f>
        <v>0</v>
      </c>
      <c r="T2" s="31">
        <f>IF(AND(B15&gt;0,B16&gt;0,B17&gt;0),1,0)</f>
        <v>0</v>
      </c>
      <c r="U2" s="34">
        <f>IF(AND(B15&gt;0,B16&gt;0,B18&gt;0),1,0)</f>
        <v>0</v>
      </c>
      <c r="V2" s="34">
        <f>IF(OR(U2=0,B15&gt;=B16,U9=0,N1=0),0,2)</f>
        <v>0</v>
      </c>
      <c r="W2" s="31">
        <f>IF(AND(B15&gt;0,B16&gt;0,B19&gt;0),1,0)</f>
        <v>0</v>
      </c>
      <c r="X2" s="34">
        <f>IF(OR(W2=0,B16&gt;=B15,W7=0,N1=0),0,2)</f>
        <v>0</v>
      </c>
      <c r="Y2" s="31">
        <f>IF(AND(B14&gt;0,B17&gt;0,B18&gt;0),1,0)</f>
        <v>0</v>
      </c>
      <c r="Z2" s="31">
        <f>IF(AND(B14&gt;0,B17&gt;0,B19&gt;0),1,0)</f>
        <v>0</v>
      </c>
      <c r="AA2" s="31">
        <f>IF(AND(B14&gt;0,B18&gt;0,B19&gt;0),1,0)</f>
        <v>0</v>
      </c>
      <c r="AB2" s="31">
        <f>IF(AND(B15&gt;0,B17&gt;0,B18&gt;0),1,0)</f>
        <v>0</v>
      </c>
      <c r="AC2" s="31">
        <f>IF(AND(B15&gt;0,B17&gt;0,B19&gt;0),1,0)</f>
        <v>0</v>
      </c>
      <c r="AD2" s="31">
        <f>IF(AND(B15&gt;0,B18&gt;0,B19&gt;0),1,0)</f>
        <v>0</v>
      </c>
      <c r="AE2" s="31">
        <f>IF(AND(B16&gt;0,B18&gt;0,B17&gt;0),1,0)</f>
        <v>0</v>
      </c>
      <c r="AF2" s="31">
        <f>IF(AND(B16&gt;0,B17&gt;0,B19&gt;0),1,0)</f>
        <v>0</v>
      </c>
      <c r="AG2" s="31">
        <f>IF(AND(B16&gt;0,B18&gt;0,B19&gt;0),1,0)</f>
        <v>0</v>
      </c>
    </row>
    <row r="3" spans="7:33" ht="15" hidden="1" outlineLevel="1">
      <c r="G3" s="32">
        <v>1</v>
      </c>
      <c r="I3" s="35" t="s">
        <v>77</v>
      </c>
      <c r="J3" s="31" t="s">
        <v>78</v>
      </c>
      <c r="K3" s="31" t="s">
        <v>79</v>
      </c>
      <c r="L3" s="31" t="s">
        <v>80</v>
      </c>
      <c r="M3" s="31" t="s">
        <v>81</v>
      </c>
      <c r="N3" s="31" t="s">
        <v>82</v>
      </c>
      <c r="O3" s="31" t="s">
        <v>83</v>
      </c>
      <c r="P3" s="31" t="s">
        <v>84</v>
      </c>
      <c r="Q3" s="31" t="s">
        <v>85</v>
      </c>
      <c r="R3" s="31" t="s">
        <v>86</v>
      </c>
      <c r="S3" s="31" t="s">
        <v>87</v>
      </c>
      <c r="T3" s="31" t="s">
        <v>88</v>
      </c>
      <c r="U3" s="31" t="s">
        <v>89</v>
      </c>
      <c r="V3" s="31" t="s">
        <v>90</v>
      </c>
      <c r="W3" s="31" t="s">
        <v>91</v>
      </c>
      <c r="X3" s="31" t="s">
        <v>92</v>
      </c>
      <c r="Y3" s="31" t="s">
        <v>93</v>
      </c>
      <c r="Z3" s="31" t="s">
        <v>94</v>
      </c>
      <c r="AA3" s="31" t="s">
        <v>95</v>
      </c>
      <c r="AB3" s="31" t="s">
        <v>96</v>
      </c>
      <c r="AC3" s="31" t="s">
        <v>97</v>
      </c>
      <c r="AD3" s="31" t="s">
        <v>98</v>
      </c>
      <c r="AE3" s="31" t="s">
        <v>99</v>
      </c>
      <c r="AF3" s="31" t="s">
        <v>100</v>
      </c>
      <c r="AG3" s="31" t="s">
        <v>101</v>
      </c>
    </row>
    <row r="4" spans="7:33" ht="15" hidden="1" outlineLevel="1">
      <c r="G4" s="32">
        <f>IF(B17=0,180-B18-B19,B17)</f>
        <v>35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1">
        <f>IF(T2=1,(B15*B15+B16*B16-2*B15*B16*COS(B17/K1))^0.5,0)</f>
        <v>0</v>
      </c>
      <c r="U4" s="31">
        <f>IF(OR(U2=0,U9=0),0,(B15*B15+B16*B16-2*B15*B16*COS(U7/K1))^0.5)</f>
        <v>0</v>
      </c>
      <c r="V4" s="31">
        <f>IF(V2=2,(B15*B15+B16*B16-2*B15*B16*COS(V7/K1))^0.5,0)</f>
        <v>0</v>
      </c>
      <c r="W4" s="31">
        <f>IF(OR(W2=0,W8=0),0,(B15*B15+B16*B16-2*B15*B16*COS(W7/K1))^0.5)</f>
        <v>0</v>
      </c>
      <c r="X4" s="31">
        <f>IF(OR(X2=0,W8=0),0,(B15*B15+B16*B16-2*B15*B16*COS(X7/K1))^0.5)</f>
        <v>0</v>
      </c>
      <c r="Y4" s="32"/>
      <c r="Z4" s="32"/>
      <c r="AA4" s="32"/>
      <c r="AB4" s="31">
        <f>IF(AB2=1,B15*SIN(B17/K1)/SIN(B18/K1),0)</f>
        <v>0</v>
      </c>
      <c r="AC4" s="31">
        <f>IF(AC2=1,B15*SIN(B17/K1)/SIN(AC8/K1),0)</f>
        <v>0</v>
      </c>
      <c r="AD4" s="31">
        <f>IF(AD2=1,B15*SIN(AD7/K1)/SIN(B18/K1),0)</f>
        <v>0</v>
      </c>
      <c r="AE4" s="31">
        <f>IF(AE2=1,B16*SIN(B17/K1)/SIN(AE9/K1),0)</f>
        <v>0</v>
      </c>
      <c r="AF4" s="31">
        <f>IF(AF2=1,B16*SIN(B17/K1)/SIN(B19/K1),0)</f>
        <v>0</v>
      </c>
      <c r="AG4" s="31">
        <f>IF(AG2=1,B16*SIN(AG7/K1)/SIN(B19/K1),0)</f>
        <v>0</v>
      </c>
    </row>
    <row r="5" spans="7:33" ht="15" hidden="1" outlineLevel="1">
      <c r="G5" s="32">
        <f>IF(B18=0,180-B19-B17,B18)</f>
        <v>145</v>
      </c>
      <c r="I5" s="32"/>
      <c r="J5" s="32"/>
      <c r="K5" s="32"/>
      <c r="L5" s="32"/>
      <c r="M5" s="32"/>
      <c r="N5" s="32"/>
      <c r="O5" s="31">
        <f>IF(O2=1,(B14*B14+B16*B16-2*B14*B16*COS(B18/K1))^0.5,0)</f>
        <v>0</v>
      </c>
      <c r="P5" s="31">
        <f>IF(P2=1,IF(P9=0,0,(B14*B14+B16*B16-2*B14*B16*COS(P8/K1))^0.5),0)</f>
        <v>13.768348140271595</v>
      </c>
      <c r="Q5" s="31">
        <f>IF(Q2=2,IF(Q9=0,0,(B14*B14+B16*B16-2*B14*B16*COS(Q8/K1))^0.5),0)</f>
        <v>2.614692745508239</v>
      </c>
      <c r="R5" s="31">
        <f>IF(R2=1,IF(R7=0,0,(B14*B14+B16*B16-2*B14*B16*COS(R8/K1))^0.5),0)</f>
        <v>0</v>
      </c>
      <c r="S5" s="31">
        <f>IF(S2=2,IF(S8=0,0,(B14*B14+B16*B16-2*B14*B16*COS(S8/K1))^0.5),0)</f>
        <v>0</v>
      </c>
      <c r="T5" s="32"/>
      <c r="U5" s="32"/>
      <c r="V5" s="32"/>
      <c r="W5" s="32"/>
      <c r="X5" s="32"/>
      <c r="Y5" s="31">
        <f>IF(Y2=1,Y6*SIN(B18/K1)/SIN(Y9/K1),0)</f>
        <v>0</v>
      </c>
      <c r="Z5" s="31">
        <f>IF(Z2=1,Z6*SIN(Z8/K1)/SIN(B19/K1),0)</f>
        <v>0</v>
      </c>
      <c r="AA5" s="31">
        <f>IF(AA2=1,AA6*SIN(B18/K1)/SIN(B19/K1),0)</f>
        <v>0</v>
      </c>
      <c r="AB5" s="32"/>
      <c r="AC5" s="32"/>
      <c r="AD5" s="32"/>
      <c r="AE5" s="31">
        <f>IF(AE2=1,B16*SIN(B18/K1)/SIN(AE9/K1),0)</f>
        <v>0</v>
      </c>
      <c r="AF5" s="31">
        <f>IF(AF2=1,B16*SIN(AF8/K1)/SIN(B19/K1),0)</f>
        <v>0</v>
      </c>
      <c r="AG5" s="31">
        <f>IF(AG2=1,B16*SIN(B18/K1)/SIN(B19/K1),0)</f>
        <v>0</v>
      </c>
    </row>
    <row r="6" spans="7:33" ht="15" hidden="1" outlineLevel="1">
      <c r="G6" s="32">
        <f>IF(B19=0,180-B17-B18,B19)</f>
        <v>145</v>
      </c>
      <c r="I6" s="32"/>
      <c r="J6" s="31">
        <f>IF(J2=1,(B14*B14+B15*B15-2*B14*B15*COS(B19/K1))^0.5,0)</f>
        <v>0</v>
      </c>
      <c r="K6" s="31">
        <f>IF(K2=1,IF(K9=0,0,(B14*B14+B15*B15-2*B14*B15*COS(K9/K1))^0.5),0)</f>
        <v>0</v>
      </c>
      <c r="L6" s="31">
        <f>IF(L2=2,IF(L9=0,0,(B14*B14+B15*B15-2*B14*B15*COS(L9/K1))^0.5),0)</f>
        <v>0</v>
      </c>
      <c r="M6" s="31">
        <f>IF(M2=1,IF(M9=0,0,(B14*B14+B15*B15-2*B14*B15*COS(M9/K1))^0.5),0)</f>
        <v>0</v>
      </c>
      <c r="N6" s="31">
        <f>IF(N2=2,IF(N9=0,0,(B14*B14+B15*B15-2*B14*B15*COS(N9/K1))^0.5),0)</f>
        <v>0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1">
        <f>IF(Y2=1,B14*SIN(Y9/K1)/SIN(B17/K1),0)</f>
        <v>0</v>
      </c>
      <c r="Z6" s="31">
        <f>IF(Z2=1,B14*SIN(B19/K1)/SIN(B17/K1),0)</f>
        <v>0</v>
      </c>
      <c r="AA6" s="31">
        <f>IF(AA2=1,B14*SIN(B19/K1)/SIN(AA7/K1),0)</f>
        <v>0</v>
      </c>
      <c r="AB6" s="31">
        <f>IF(AB2=1,AB4*SIN(AB9/K1)/SIN(B17/K1),0)</f>
        <v>0</v>
      </c>
      <c r="AC6" s="31">
        <f>IF(AC2=1,AC4*SIN(B19/K1)/SIN(B17/K1),0)</f>
        <v>0</v>
      </c>
      <c r="AD6" s="31">
        <f>IF(AD2=1,AD4*SIN(B19/K1)/SIN(AD7/K1),0)</f>
        <v>0</v>
      </c>
      <c r="AE6" s="32"/>
      <c r="AF6" s="32"/>
      <c r="AG6" s="32"/>
    </row>
    <row r="7" spans="9:33" ht="15" hidden="1" outlineLevel="1">
      <c r="I7" s="31">
        <f>IF(I2=1,ACOS((B15*B15+B16*B16-B14*B14)/(2*B15*B16))*K1,0)</f>
        <v>0</v>
      </c>
      <c r="J7" s="31">
        <f>IF(J2=1,ACOS((B15*B15+J6*J6-B14*B14)/(2*B15*J6))*K1,0)</f>
        <v>0</v>
      </c>
      <c r="K7" s="36"/>
      <c r="L7" s="36"/>
      <c r="M7" s="31">
        <f>IF(M2=1,IF(B14*SIN(B18/K1)=B15,90,IF(B14*SIN(B18/K1)&gt;B15,0,ASIN(B14*SIN(B18/K1)/B15)*K1)),0)</f>
        <v>0</v>
      </c>
      <c r="N7" s="31">
        <f>IF(N2=2,IF(B15*SIN(B18/K1)&lt;B14,180-M7,0),0)</f>
        <v>0</v>
      </c>
      <c r="O7" s="31">
        <f>IF(O2=1,ACOS((B16*B16+O5*O5-B14*B14)/(2*O5*B16))*K1,0)</f>
        <v>0</v>
      </c>
      <c r="P7" s="32"/>
      <c r="Q7" s="32"/>
      <c r="R7" s="31">
        <f>IF(R2=1,IF(B16*SIN(B19/K1)=B14,90,IF(B14*SIN(B19/K1)&gt;B16,0,ASIN(B14*SIN(B19/K1)/B16)*K1)),0)</f>
        <v>0</v>
      </c>
      <c r="S7" s="31">
        <f>IF(S2=2,IF(B14*SIN(B19/K1)&lt;B16,180-R7,0),0)</f>
        <v>0</v>
      </c>
      <c r="T7" s="32"/>
      <c r="U7" s="31">
        <f>IF(U2=1,IF(U9=0,0,IF(B18+U9=180,-1,180-U9-B18)),0)</f>
        <v>0</v>
      </c>
      <c r="V7" s="31">
        <f>IF(V2=2,IF(U4*SIN(U9/K1)&lt;B16,180-B18-V9,0),0)</f>
        <v>0</v>
      </c>
      <c r="W7" s="31">
        <f>IF($A$4=7.1,"W a l t e r   F R I C K E,   D e r e n d o r f   (W F)",IF(W2=1,IF(W8=0,0,IF(B19+W8=180,-1,180-W8-B19)),0))</f>
        <v>0</v>
      </c>
      <c r="X7" s="31">
        <f>IF(X2=2,IF(X8=0,0,180-X8-B19),0)</f>
        <v>0</v>
      </c>
      <c r="Y7" s="32"/>
      <c r="Z7" s="32"/>
      <c r="AA7" s="31">
        <f>IF(AA2=1,180-B18-B19,0)</f>
        <v>0</v>
      </c>
      <c r="AB7" s="32"/>
      <c r="AC7" s="32"/>
      <c r="AD7" s="31">
        <f>IF(AD2=1,IF(B18+B19&gt;=180,-1,180-B18-B19),0)</f>
        <v>0</v>
      </c>
      <c r="AE7" s="32"/>
      <c r="AF7" s="32"/>
      <c r="AG7" s="31">
        <f>IF(AG2=1,IF(B18+B19&gt;=180,-1,180-B19-B18),0)</f>
        <v>0</v>
      </c>
    </row>
    <row r="8" spans="9:33" ht="15" hidden="1" outlineLevel="1">
      <c r="I8" s="31">
        <f>IF(I2=1,ACOS((B16*B16+B14*B14-B15*B15)/(2*B16*B14))*K1,0)</f>
        <v>0</v>
      </c>
      <c r="J8" s="31">
        <f>IF(J2=1,180-J7-B19,0)</f>
        <v>0</v>
      </c>
      <c r="K8" s="31">
        <f>IF(K2=1,IF(B15*SIN(B17/K1)=B14,90,IF(B15*SIN(B17/K1)&gt;B14,0,ASIN(B15*SIN(B17/K1)/B14)*K1)),0)</f>
        <v>0</v>
      </c>
      <c r="L8" s="31">
        <f>IF(L2=2,IF(B15*SIN(B17/K1)&lt;B14,180-K8,0),0)</f>
        <v>0</v>
      </c>
      <c r="M8" s="36"/>
      <c r="N8" s="36"/>
      <c r="O8" s="36"/>
      <c r="P8" s="31">
        <f>IF(P2=1,IF(P9=0,0,IF(B17+P9=180,-1,180-P9-B17)),0)</f>
        <v>99.1950738582388</v>
      </c>
      <c r="Q8" s="31">
        <f>IF(Q2=2,IF(Q9=0,0,180-Q9-B17),0)</f>
        <v>10.8049261417612</v>
      </c>
      <c r="R8" s="31">
        <f>IF(R2=1,IF(R7=0,0,IF(B19+R7=180,-1,180-R7-B19)),0)</f>
        <v>0</v>
      </c>
      <c r="S8" s="31">
        <f>IF(S2=2,IF(S7=0,0,180-S7-B19),0)</f>
        <v>0</v>
      </c>
      <c r="T8" s="31">
        <f>IF(T2=1,ACOS((B16*B16+T4*T4-B15*B15)/(2*B16*T4))*K1,0)</f>
        <v>0</v>
      </c>
      <c r="U8" s="32"/>
      <c r="V8" s="32"/>
      <c r="W8" s="31">
        <f>IF(W2=1,IF(B15*SIN(B19/K1)=B16,90,IF(B15*SIN(B19/K1)&gt;B16,0,ASIN(B15*SIN(B19/K1)/B16)*K1)),0)</f>
        <v>0</v>
      </c>
      <c r="X8" s="31">
        <f>IF(X2=2,IF(B15*SIN(W8/K1)&lt;W4,180-W8,0),0)</f>
        <v>0</v>
      </c>
      <c r="Y8" s="32"/>
      <c r="Z8" s="31">
        <f>IF($A$4=24,"24.02.1949 in Bremerhaven",IF(Z2=1,IF(B17+B19&gt;=180,-1,180-B17-B19),0))</f>
        <v>0</v>
      </c>
      <c r="AA8" s="32"/>
      <c r="AB8" s="32"/>
      <c r="AC8" s="31">
        <f>IF(AC2=1,IF(B17+B19&gt;=180,-1,180-B17-B19),0)</f>
        <v>0</v>
      </c>
      <c r="AD8" s="32"/>
      <c r="AE8" s="32"/>
      <c r="AF8" s="31">
        <f>IF($A$4="r","(FW)  frodnereD ,EKCIRF retlaW",IF(AF2=1,IF(B17+B19&gt;=180,-1,180-B17-B19),0))</f>
        <v>0</v>
      </c>
      <c r="AG8" s="32"/>
    </row>
    <row r="9" spans="7:33" ht="15" hidden="1" outlineLevel="1">
      <c r="G9" s="37">
        <f>IF(AND(B14+B15+B16=0,G4&lt;&gt;0,G5&lt;&gt;0,G6&lt;&gt;0,G4+G5+G6=180),1,0)</f>
        <v>0</v>
      </c>
      <c r="I9" s="31">
        <f>IF(I2=1,IF(I8+I17=0,-1,180-I7-I8),0)</f>
        <v>0</v>
      </c>
      <c r="J9" s="32"/>
      <c r="K9" s="31">
        <f>IF(K2=1,IF(K8+B17=180,-1,IF(K8=0,0,180-K8-B17)),0)</f>
        <v>0</v>
      </c>
      <c r="L9" s="31">
        <f>IF(L2=2,IF(L8=0,0,180-L8-B17),0)</f>
        <v>0</v>
      </c>
      <c r="M9" s="31">
        <f>IF(M2=1,IF(M7=0,0,IF(M7+B18=180,-1,180-M7-B18)),0)</f>
        <v>0</v>
      </c>
      <c r="N9" s="31">
        <f>IF(N2=2,IF(N7=0,0,180-N7-B18),0)</f>
        <v>0</v>
      </c>
      <c r="O9" s="31">
        <f>IF(O2=1,IF(O7=0,0,180-O7-B18),0)</f>
        <v>0</v>
      </c>
      <c r="P9" s="31">
        <f>IF(P2=1,IF(B16*SIN(B17/K1)=B14,90,IF(B16*SIN(B17/K1)&gt;B14,0,ASIN(B16*SIN(B17/K1)/B14)*K1)),0)</f>
        <v>45.804926141761186</v>
      </c>
      <c r="Q9" s="31">
        <f>IF(Q2=2,IF(B16*SIN(B17/K1)&lt;B14,180-P9,0),0)</f>
        <v>134.1950738582388</v>
      </c>
      <c r="R9" s="32"/>
      <c r="S9" s="32"/>
      <c r="T9" s="31">
        <f>IF(T2=1,180-B17-T8,0)</f>
        <v>0</v>
      </c>
      <c r="U9" s="38">
        <f>IF(U2=1,IF(B16*SIN(B18/K1)=B15,90,IF(B16*SIN(B18/K1)&gt;B15,0,ASIN(B16*SIN(B18/K1)/B15)*K1)),0)</f>
        <v>0</v>
      </c>
      <c r="V9" s="31">
        <f>IF(V2=2,IF(B16*SIN(U7/K1)&lt;U4,180-U9,0),0)</f>
        <v>0</v>
      </c>
      <c r="W9" s="32"/>
      <c r="X9" s="32"/>
      <c r="Y9" s="31">
        <f>IF(Y2=1,IF(B17+B18&gt;=180,-1,180-B17-B18),0)</f>
        <v>0</v>
      </c>
      <c r="Z9" s="32"/>
      <c r="AA9" s="32"/>
      <c r="AB9" s="31">
        <f>IF(AB2=1,IF(B17+B18&gt;=180,-1,180-B17-B18),0)</f>
        <v>0</v>
      </c>
      <c r="AC9" s="32"/>
      <c r="AD9" s="32"/>
      <c r="AE9" s="31">
        <f>IF(AE2=1,IF(B17+B18&gt;=180,-1,180-B17-B18),0)</f>
        <v>0</v>
      </c>
      <c r="AF9" s="32"/>
      <c r="AG9" s="32"/>
    </row>
    <row r="10" spans="7:24" ht="14.25" collapsed="1">
      <c r="G10" s="2">
        <v>4</v>
      </c>
      <c r="X10" s="39"/>
    </row>
    <row r="11" ht="18">
      <c r="B11" s="40" t="s">
        <v>102</v>
      </c>
    </row>
    <row r="12" spans="2:8" ht="15">
      <c r="B12" s="41" t="s">
        <v>103</v>
      </c>
      <c r="D12" s="33"/>
      <c r="E12" s="33"/>
      <c r="F12" s="33"/>
      <c r="H12" s="33"/>
    </row>
    <row r="13" spans="5:8" ht="13.5" customHeight="1">
      <c r="E13"/>
      <c r="F13" s="42">
        <f>IF(G9=1,"unendlich viele Lösungen",IF(B20&lt;&gt;"","",IF(I1=1,"unlösbar !","")))</f>
      </c>
      <c r="G13" s="43" t="str">
        <f>IF(J1=1,"1.  Lösung","")</f>
        <v>1.  Lösung</v>
      </c>
      <c r="H13" s="43" t="str">
        <f>IF(J1=1,"2.  Lösung","")</f>
        <v>2.  Lösung</v>
      </c>
    </row>
    <row r="14" spans="1:8" ht="13.5" customHeight="1">
      <c r="A14" s="11" t="str">
        <f aca="true" t="shared" si="0" ref="A14:A19">IF(B14&gt;0,"E","")</f>
        <v>E</v>
      </c>
      <c r="B14" s="44">
        <v>8</v>
      </c>
      <c r="C14" s="45"/>
      <c r="D14" s="29" t="s">
        <v>104</v>
      </c>
      <c r="E14" s="46" t="s">
        <v>105</v>
      </c>
      <c r="F14" s="13">
        <f aca="true" t="shared" si="1" ref="F14:F19">IF(B14&gt;0,"","=")</f>
      </c>
      <c r="G14" s="28">
        <f>ROUND(IF(B14&gt;0,B14,IF(I1=1,0,HLOOKUP(1,I2:AZ9,3,0))),G10)</f>
        <v>8</v>
      </c>
      <c r="H14" s="28">
        <f>ROUND(IF(J1=0,0,IF(B14&gt;0,B14,HLOOKUP(2,I2:AZ9,3,0))),G10)</f>
        <v>8</v>
      </c>
    </row>
    <row r="15" spans="1:8" ht="13.5" customHeight="1">
      <c r="A15" s="11">
        <f t="shared" si="0"/>
      </c>
      <c r="B15" s="44"/>
      <c r="C15" s="45"/>
      <c r="D15" s="29"/>
      <c r="E15" s="46" t="s">
        <v>44</v>
      </c>
      <c r="F15" s="13" t="str">
        <f t="shared" si="1"/>
        <v>=</v>
      </c>
      <c r="G15" s="28">
        <f>ROUND(IF(B15&gt;0,B15,IF(I1=1,0,HLOOKUP(1,I2:AZ9,4,0))),G10)</f>
        <v>13.7683</v>
      </c>
      <c r="H15" s="28">
        <f>ROUND(IF(J1=0,0,IF(B15&gt;0,B15,HLOOKUP(2,I2:AZ9,4,0))),G10)</f>
        <v>2.6147</v>
      </c>
    </row>
    <row r="16" spans="1:8" ht="13.5" customHeight="1">
      <c r="A16" s="11" t="str">
        <f t="shared" si="0"/>
        <v>E</v>
      </c>
      <c r="B16" s="44">
        <v>10</v>
      </c>
      <c r="C16" s="45"/>
      <c r="D16" s="29"/>
      <c r="E16" s="46" t="s">
        <v>60</v>
      </c>
      <c r="F16" s="13">
        <f t="shared" si="1"/>
      </c>
      <c r="G16" s="28">
        <f>ROUND(IF(B16&gt;0,B16,IF(I1=1,0,HLOOKUP(1,I2:AZ9,5,0))),G10)</f>
        <v>10</v>
      </c>
      <c r="H16" s="28">
        <f>ROUND(IF(J1=0,0,IF(B16&gt;0,B16,HLOOKUP(2,I2:AZ9,5,0))),G10)</f>
        <v>10</v>
      </c>
    </row>
    <row r="17" spans="1:8" ht="13.5" customHeight="1">
      <c r="A17" s="11" t="str">
        <f t="shared" si="0"/>
        <v>E</v>
      </c>
      <c r="B17" s="44">
        <v>35</v>
      </c>
      <c r="C17" s="45"/>
      <c r="D17" s="29" t="s">
        <v>43</v>
      </c>
      <c r="E17" s="47" t="s">
        <v>105</v>
      </c>
      <c r="F17" s="13">
        <f t="shared" si="1"/>
      </c>
      <c r="G17" s="48">
        <f>ROUND(IF(G9=1,G4,IF(B17&gt;0,B17,IF(I1=1,0,HLOOKUP(1,I2:AZ9,6,0)))),G10)</f>
        <v>35</v>
      </c>
      <c r="H17" s="49">
        <f>IF(J$1=0,IF(MOD(G17,1)=0,"",INT(G17)&amp;" °  "&amp;ROUND(MOD(G17,1)*60,1)&amp;" '"),ROUND(IF(B17&gt;0,B17,HLOOKUP(2,$I$2:$AZ$9,6,0)),G$10))</f>
        <v>35</v>
      </c>
    </row>
    <row r="18" spans="1:11" ht="13.5" customHeight="1">
      <c r="A18" s="11">
        <f t="shared" si="0"/>
      </c>
      <c r="B18" s="44"/>
      <c r="C18" s="45"/>
      <c r="D18" s="29"/>
      <c r="E18" s="47" t="s">
        <v>44</v>
      </c>
      <c r="F18" s="13" t="str">
        <f t="shared" si="1"/>
        <v>=</v>
      </c>
      <c r="G18" s="48">
        <f>ROUND(IF(G9=1,G5,IF(B18&gt;0,B18,IF(I1=1,0,HLOOKUP(1,I2:AZ9,7,0)))),G10)</f>
        <v>99.1951</v>
      </c>
      <c r="H18" s="49">
        <f>IF(J$1=0,IF(MOD(G18,1)=0,"",INT(G18)&amp;" °  "&amp;ROUND(MOD(G18,1)*60,1)&amp;" '"),ROUND(IF(B18&gt;0,B18,HLOOKUP(2,$I$2:$AZ$9,7,0)),G$10))</f>
        <v>10.8049</v>
      </c>
      <c r="K18" s="28"/>
    </row>
    <row r="19" spans="1:19" ht="13.5" customHeight="1">
      <c r="A19" s="11">
        <f t="shared" si="0"/>
      </c>
      <c r="B19" s="44"/>
      <c r="C19" s="45"/>
      <c r="D19" s="29"/>
      <c r="E19" s="47" t="s">
        <v>106</v>
      </c>
      <c r="F19" s="13" t="str">
        <f t="shared" si="1"/>
        <v>=</v>
      </c>
      <c r="G19" s="48">
        <f>ROUND(IF(G9=1,G6,IF(B19&gt;0,B19,IF(I1=1,0,HLOOKUP(1,I2:AZ9,8,0)))),G10)</f>
        <v>45.8049</v>
      </c>
      <c r="H19" s="49">
        <f>IF(J$1=0,IF(MOD(G19,1)=0,"",INT(G19)&amp;" °  "&amp;ROUND(MOD(G19,1)*60,1)&amp;" '"),ROUND(IF(B19&gt;0,B19,HLOOKUP(2,$I$2:$AZ$9,8,0)),G$10))</f>
        <v>134.1951</v>
      </c>
      <c r="O19" s="1"/>
      <c r="P19" s="1"/>
      <c r="Q19" s="1"/>
      <c r="R19" s="1"/>
      <c r="S19" s="1"/>
    </row>
    <row r="20" spans="2:19" ht="13.5" customHeight="1">
      <c r="B20" s="50">
        <f>IF(COUNTIF(B14:B19,"&gt;0")&gt;3,"nur 3 Eingaben",IF(COUNTIF(B14:B19,"&gt;0")&lt;3,"3 Eingaben",""))</f>
      </c>
      <c r="E20" s="35"/>
      <c r="I20" s="27" t="str">
        <f>IF(J1=1,"        Darstellung  1.  Lösung","")</f>
        <v>        Darstellung  1.  Lösung</v>
      </c>
      <c r="J20"/>
      <c r="O20" s="1"/>
      <c r="P20" s="1"/>
      <c r="Q20" s="1"/>
      <c r="R20" s="1"/>
      <c r="S20" s="1"/>
    </row>
    <row r="21" spans="3:19" ht="13.5" customHeight="1">
      <c r="C21"/>
      <c r="E21" s="35"/>
      <c r="J21" s="51"/>
      <c r="L21"/>
      <c r="O21" s="1"/>
      <c r="P21" s="1"/>
      <c r="Q21" s="7"/>
      <c r="R21" s="1"/>
      <c r="S21" s="1"/>
    </row>
    <row r="22" spans="4:19" ht="13.5" customHeight="1">
      <c r="D22" s="29" t="s">
        <v>55</v>
      </c>
      <c r="E22" s="46" t="s">
        <v>56</v>
      </c>
      <c r="F22" s="13" t="s">
        <v>64</v>
      </c>
      <c r="G22" s="28">
        <f>ROUND(IF(I1=1,0,(L1*(L1-G14)*(L1-G15)*(L1-G16))^0.5),G10)</f>
        <v>39.4861</v>
      </c>
      <c r="H22" s="28">
        <f>ROUND(IF(J1=0,0,(M1*(M1-H14)*(M1-H15)*(M1-H16))^0.5),G10)</f>
        <v>7.4987</v>
      </c>
      <c r="O22" s="7"/>
      <c r="P22" s="1"/>
      <c r="Q22" s="18"/>
      <c r="R22" s="1"/>
      <c r="S22" s="1"/>
    </row>
    <row r="23" spans="4:19" ht="13.5" customHeight="1">
      <c r="D23" s="29" t="s">
        <v>62</v>
      </c>
      <c r="E23" s="46" t="s">
        <v>63</v>
      </c>
      <c r="F23" s="13" t="s">
        <v>64</v>
      </c>
      <c r="G23" s="28">
        <f>ROUND(IF(I1=1,0,G14+G15+G16),G10)</f>
        <v>31.7683</v>
      </c>
      <c r="H23" s="28">
        <f>ROUND(IF(J1=0,0,H14+H15+H16),G10)</f>
        <v>20.6147</v>
      </c>
      <c r="O23" s="7"/>
      <c r="P23" s="1"/>
      <c r="Q23" s="1"/>
      <c r="R23" s="1"/>
      <c r="S23" s="1"/>
    </row>
    <row r="24" spans="4:19" ht="13.5" customHeight="1">
      <c r="D24" s="29" t="s">
        <v>107</v>
      </c>
      <c r="E24" s="46" t="s">
        <v>108</v>
      </c>
      <c r="F24" s="13" t="s">
        <v>64</v>
      </c>
      <c r="G24" s="28">
        <f>ROUND(IF(I1=1,0,G15*SIN(G19/K1)),G10)</f>
        <v>9.8715</v>
      </c>
      <c r="H24" s="28">
        <f>ROUND(IF(J1=0,0,H15*SIN(H19/K1)),G10)</f>
        <v>1.8747</v>
      </c>
      <c r="O24" s="1"/>
      <c r="P24" s="7"/>
      <c r="Q24" s="7"/>
      <c r="R24" s="7"/>
      <c r="S24" s="1"/>
    </row>
    <row r="25" spans="4:19" ht="13.5" customHeight="1">
      <c r="D25" s="29"/>
      <c r="E25" s="52" t="s">
        <v>109</v>
      </c>
      <c r="F25" s="13" t="s">
        <v>64</v>
      </c>
      <c r="G25" s="28">
        <f>ROUND(IF(I1=1,0,G16*SIN(G17/K1)),G10)</f>
        <v>5.7358</v>
      </c>
      <c r="H25" s="28">
        <f>ROUND(IF(J1=0,0,H16*SIN(H17/K1)),G10)</f>
        <v>5.7358</v>
      </c>
      <c r="O25" s="1"/>
      <c r="P25" s="1"/>
      <c r="Q25" s="1"/>
      <c r="R25" s="1"/>
      <c r="S25" s="1"/>
    </row>
    <row r="26" spans="4:19" ht="13.5" customHeight="1">
      <c r="D26" s="29"/>
      <c r="E26" s="46" t="s">
        <v>110</v>
      </c>
      <c r="F26" s="13" t="s">
        <v>64</v>
      </c>
      <c r="G26" s="28">
        <f>ROUND(IF(I1=1,0,G14*SIN(G18/K1)),G10)</f>
        <v>7.8972</v>
      </c>
      <c r="H26" s="28">
        <f>ROUND(IF(J1=0,0,H14*SIN(H18/K1)),G10)</f>
        <v>1.4997</v>
      </c>
      <c r="O26" s="1"/>
      <c r="P26" s="1"/>
      <c r="Q26" s="1"/>
      <c r="R26" s="1"/>
      <c r="S26" s="1"/>
    </row>
    <row r="27" spans="4:19" ht="13.5" customHeight="1">
      <c r="D27" s="29" t="s">
        <v>69</v>
      </c>
      <c r="E27" s="46" t="s">
        <v>70</v>
      </c>
      <c r="F27" s="13" t="s">
        <v>64</v>
      </c>
      <c r="G27" s="28">
        <f>ROUND(IF(I1=1,0,0.5*(G15*G15+G16*G16+2*G15*G16*COS(G17/K1))^0.5),G10)</f>
        <v>11.3483</v>
      </c>
      <c r="H27" s="28">
        <f>ROUND(IF(J1=0,0,0.5*(H15*H15+H16*H16+2*H15*H16*COS(H17/K1))^0.5),G10)</f>
        <v>6.1171</v>
      </c>
      <c r="O27" s="20"/>
      <c r="P27" s="21"/>
      <c r="Q27" s="15"/>
      <c r="R27" s="20"/>
      <c r="S27" s="1"/>
    </row>
    <row r="28" spans="4:19" ht="13.5" customHeight="1">
      <c r="D28" s="29"/>
      <c r="E28" s="46" t="s">
        <v>71</v>
      </c>
      <c r="F28" s="13" t="s">
        <v>64</v>
      </c>
      <c r="G28" s="28">
        <f>ROUND(IF(I1=1,0,0.5*(G16*G16+G14*G14+2*G16*G14*COS(G18/K1))^0.5),G10)</f>
        <v>5.8829</v>
      </c>
      <c r="H28" s="28">
        <f>ROUND(IF(J1=0,0,0.5*(H16*H16+H14*H14+2*H16*H14*COS(H18/K1))^0.5),G10)</f>
        <v>8.9605</v>
      </c>
      <c r="O28" s="7"/>
      <c r="P28" s="15"/>
      <c r="Q28" s="1"/>
      <c r="R28" s="1"/>
      <c r="S28" s="7"/>
    </row>
    <row r="29" spans="4:8" ht="13.5" customHeight="1">
      <c r="D29" s="29"/>
      <c r="E29" s="46" t="s">
        <v>72</v>
      </c>
      <c r="F29" s="13" t="s">
        <v>64</v>
      </c>
      <c r="G29" s="28">
        <f>ROUND(IF(I1=1,0,0.5*(G14*G14+G15*G15+2*G14*G15*COS(G19/K1))^0.5),G10)</f>
        <v>10.0888</v>
      </c>
      <c r="H29" s="28">
        <f>ROUND(IF(J1=0,0,0.5*(H14*H14+H15*H15+2*H14*H15*COS(H19/K1))^0.5),G10)</f>
        <v>3.2277</v>
      </c>
    </row>
    <row r="30" spans="4:8" ht="13.5" customHeight="1">
      <c r="D30" s="29" t="s">
        <v>73</v>
      </c>
      <c r="E30" s="46" t="s">
        <v>74</v>
      </c>
      <c r="F30" s="13" t="s">
        <v>64</v>
      </c>
      <c r="G30" s="28">
        <f>ROUND(IF(I1=1,0,(2*G15*G16*COS(G17/(2*K1)))/(G15+G16)),G10)</f>
        <v>11.0492</v>
      </c>
      <c r="H30" s="28">
        <f>ROUND(IF(J1=0,0,(2*H15*H16*COS(H17/(2*K1)))/(H15+H16)),G10)</f>
        <v>3.9536</v>
      </c>
    </row>
    <row r="31" spans="4:8" ht="13.5" customHeight="1">
      <c r="D31" s="29"/>
      <c r="E31" s="46" t="s">
        <v>75</v>
      </c>
      <c r="F31" s="13" t="s">
        <v>64</v>
      </c>
      <c r="G31" s="28">
        <f>ROUND(IF(I1=1,0,(2*G16*G14*COS(G18/(2*K1)))/(G16+G14)),G10)</f>
        <v>5.7614</v>
      </c>
      <c r="H31" s="28">
        <f>ROUND(IF(J1=0,0,(2*H16*H14*COS(H18/(2*K1)))/(H16+H14)),G10)</f>
        <v>8.8494</v>
      </c>
    </row>
    <row r="32" spans="4:8" ht="13.5" customHeight="1">
      <c r="D32" s="29"/>
      <c r="E32" s="46" t="s">
        <v>76</v>
      </c>
      <c r="F32" s="13" t="s">
        <v>64</v>
      </c>
      <c r="G32" s="28">
        <f>ROUND(IF(I1=1,0,(2*G14*G15*COS(G19/(2*K1)))/(G14+G15)),G10)</f>
        <v>9.3221</v>
      </c>
      <c r="H32" s="28">
        <f>ROUND(IF(J1=0,0,(2*H14*H15*COS(H19/(2*K1)))/(H14+H15)),G10)</f>
        <v>1.5338</v>
      </c>
    </row>
    <row r="33" spans="4:8" ht="13.5" customHeight="1">
      <c r="D33" s="29" t="s">
        <v>65</v>
      </c>
      <c r="E33" s="46" t="s">
        <v>66</v>
      </c>
      <c r="F33" s="13" t="s">
        <v>64</v>
      </c>
      <c r="G33" s="28">
        <f>ROUND(IF(I1=1,0,((L1-G14)*(L1-G15)*(L1-G16)/L1)^0.5),G10)</f>
        <v>2.4859</v>
      </c>
      <c r="H33" s="28">
        <f>ROUND(IF(J1=0,0,((M1-H14)*(M1-H15)*(M1-H16)/M1)^0.5),G10)</f>
        <v>0.7275</v>
      </c>
    </row>
    <row r="34" spans="4:10" ht="13.5" customHeight="1">
      <c r="D34" s="29" t="s">
        <v>67</v>
      </c>
      <c r="E34" s="46" t="s">
        <v>68</v>
      </c>
      <c r="F34" s="13" t="s">
        <v>64</v>
      </c>
      <c r="G34" s="28">
        <f>ROUND(IF(I1=1,0,G14/(2*SIN(G17/K1))),G10)</f>
        <v>6.9738</v>
      </c>
      <c r="H34" s="28">
        <f>ROUND(IF(J1=0,0,H14/(2*SIN(H17/K1))),G10)</f>
        <v>6.9738</v>
      </c>
      <c r="I34" s="27" t="str">
        <f>IF(J1=1,"        Darstellung  2.  Lösung","")</f>
        <v>        Darstellung  2.  Lösung</v>
      </c>
      <c r="J34"/>
    </row>
    <row r="35" spans="7:16" ht="17.25" customHeight="1">
      <c r="G35" s="57" t="str">
        <f>"                 "&amp;IF(G10="",0,G10)&amp;" Rundungsstelle"&amp;IF(ABS(G10)&lt;&gt;1,"n","")&amp;IF(OR(J1=1,G10=1),""," (Minuten: eine)")</f>
        <v>                 4 Rundungsstellen</v>
      </c>
      <c r="H35" s="53"/>
      <c r="I35" s="53"/>
      <c r="J35" s="53"/>
      <c r="K35" s="53"/>
      <c r="L35" s="53"/>
      <c r="M35" s="53"/>
      <c r="N35" s="53"/>
      <c r="O35" s="53"/>
      <c r="P35" s="53"/>
    </row>
    <row r="36" spans="7:16" ht="13.5" customHeight="1" hidden="1" outlineLevel="1">
      <c r="G36" s="53"/>
      <c r="H36" s="53"/>
      <c r="I36" s="53"/>
      <c r="J36" s="53">
        <f>IF(G9=1,G3,G16)</f>
        <v>10</v>
      </c>
      <c r="K36" s="53">
        <v>0</v>
      </c>
      <c r="L36" s="53"/>
      <c r="M36" s="53"/>
      <c r="N36" s="53">
        <f>H16</f>
        <v>10</v>
      </c>
      <c r="O36" s="53"/>
      <c r="P36" s="53"/>
    </row>
    <row r="37" spans="7:17" ht="13.5" customHeight="1" hidden="1" outlineLevel="1">
      <c r="G37" s="53"/>
      <c r="H37" s="53"/>
      <c r="I37" s="53"/>
      <c r="J37" s="53">
        <f>IF(AND(I1=1,G9=0),0,IF(G9=1,I39/TAN(G4/K1),G26/TAN(G17/K1)))</f>
        <v>11.278370438843828</v>
      </c>
      <c r="K37" s="53">
        <f>IF(G9=1,I39,G26)</f>
        <v>7.8972</v>
      </c>
      <c r="L37" s="53"/>
      <c r="M37" s="53"/>
      <c r="N37" s="53">
        <f>IF(J1=0,0,H26/TAN(H17/K1))</f>
        <v>2.1417935657111493</v>
      </c>
      <c r="O37" s="53">
        <f>H26</f>
        <v>1.4997</v>
      </c>
      <c r="P37" s="53"/>
      <c r="Q37" s="53"/>
    </row>
    <row r="38" spans="7:17" ht="13.5" customHeight="1" hidden="1" outlineLevel="1">
      <c r="G38" s="53"/>
      <c r="H38" s="53"/>
      <c r="I38" s="53"/>
      <c r="J38" s="53">
        <f>MAX(MAX(J36:K37),-MIN(J36:K37))</f>
        <v>11.278370438843828</v>
      </c>
      <c r="K38" s="53"/>
      <c r="L38" s="53"/>
      <c r="M38" s="53"/>
      <c r="N38" s="53">
        <f>MAX(MAX(N36:O37),-MIN(N36:O37))</f>
        <v>10</v>
      </c>
      <c r="O38" s="53"/>
      <c r="P38" s="53"/>
      <c r="Q38" s="53"/>
    </row>
    <row r="39" spans="7:17" ht="13.5" customHeight="1" hidden="1" outlineLevel="1">
      <c r="G39" s="53"/>
      <c r="H39" s="53"/>
      <c r="I39" s="53">
        <f>G1*SIN(G5/K1)</f>
        <v>0.573576436351046</v>
      </c>
      <c r="J39" s="53">
        <f>IF(AND(I1=1,G9=0),0,J36/J38)</f>
        <v>0.8866529126902063</v>
      </c>
      <c r="K39" s="54">
        <v>0</v>
      </c>
      <c r="L39" s="53"/>
      <c r="M39" s="53"/>
      <c r="N39" s="53">
        <f>IF(J1=0,0,N36/N38)</f>
        <v>1</v>
      </c>
      <c r="O39" s="54">
        <v>0</v>
      </c>
      <c r="P39" s="53"/>
      <c r="Q39" s="53"/>
    </row>
    <row r="40" spans="7:17" ht="14.25" hidden="1" outlineLevel="1">
      <c r="G40" s="53"/>
      <c r="H40" s="53"/>
      <c r="I40" s="53"/>
      <c r="J40" s="54">
        <v>0</v>
      </c>
      <c r="K40" s="54">
        <v>0</v>
      </c>
      <c r="L40" s="53"/>
      <c r="M40" s="53"/>
      <c r="N40" s="54">
        <v>0</v>
      </c>
      <c r="O40" s="54">
        <v>0</v>
      </c>
      <c r="P40" s="53"/>
      <c r="Q40" s="53"/>
    </row>
    <row r="41" spans="7:17" ht="14.25" hidden="1" outlineLevel="1">
      <c r="G41" s="53"/>
      <c r="H41" s="53"/>
      <c r="I41" s="53"/>
      <c r="J41" s="53">
        <f>IF(AND(I1=1,G9=0),0,J37/J38)</f>
        <v>1</v>
      </c>
      <c r="K41" s="53">
        <f>IF(AND(I1=1,G9=0),0,K37/J38)/IF(J41&lt;0,2,1)</f>
        <v>0.7002075382097097</v>
      </c>
      <c r="L41" s="53"/>
      <c r="M41" s="53"/>
      <c r="N41" s="53">
        <f>IF(J1=0,0,N37/N38)</f>
        <v>0.21417935657111492</v>
      </c>
      <c r="O41" s="53">
        <f>IF(J1=0,0,O37/N38)/IF(N41&lt;0,2,1)</f>
        <v>0.14997</v>
      </c>
      <c r="P41" s="53"/>
      <c r="Q41" s="53"/>
    </row>
    <row r="42" spans="7:17" ht="14.25" hidden="1" outlineLevel="1">
      <c r="G42" s="53"/>
      <c r="H42" s="53"/>
      <c r="I42" s="53"/>
      <c r="J42" s="54">
        <f>J39</f>
        <v>0.8866529126902063</v>
      </c>
      <c r="K42" s="54">
        <v>0</v>
      </c>
      <c r="L42" s="53"/>
      <c r="M42" s="53"/>
      <c r="N42" s="54">
        <f>N39</f>
        <v>1</v>
      </c>
      <c r="O42" s="54">
        <v>0</v>
      </c>
      <c r="P42" s="53"/>
      <c r="Q42" s="53"/>
    </row>
    <row r="43" spans="7:17" ht="14.25" collapsed="1"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7:17" ht="14.25"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7:17" ht="14.25"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7:17" ht="14.25"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7:17" ht="14.25"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</sheetData>
  <printOptions/>
  <pageMargins left="0.54" right="0.18" top="1" bottom="1" header="0.511811023" footer="0.511811023"/>
  <pageSetup blackAndWhite="1" horizontalDpi="300" verticalDpi="300" orientation="portrait" paperSize="9" r:id="rId4"/>
  <headerFooter alignWithMargins="0">
    <oddFooter>&amp;L&amp;8&amp;D&amp;R&amp;8wfrernat.xls 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FRICKE; Derendorf   (WF)</dc:creator>
  <cp:keywords/>
  <dc:description/>
  <cp:lastModifiedBy>Helmut Mittelbach</cp:lastModifiedBy>
  <cp:lastPrinted>2001-01-02T19:27:31Z</cp:lastPrinted>
  <dcterms:created xsi:type="dcterms:W3CDTF">1999-04-29T08:21:35Z</dcterms:created>
  <dcterms:modified xsi:type="dcterms:W3CDTF">2008-03-04T12:47:01Z</dcterms:modified>
  <cp:category/>
  <cp:version/>
  <cp:contentType/>
  <cp:contentStatus/>
</cp:coreProperties>
</file>